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mc:AlternateContent xmlns:mc="http://schemas.openxmlformats.org/markup-compatibility/2006">
    <mc:Choice Requires="x15">
      <x15ac:absPath xmlns:x15ac="http://schemas.microsoft.com/office/spreadsheetml/2010/11/ac" url="https://eecagovtnz.sharepoint.com/sites/Business/SP/Hotels/"/>
    </mc:Choice>
  </mc:AlternateContent>
  <xr:revisionPtr revIDLastSave="0" documentId="8_{90698285-C6C8-4965-B12E-C3A8D4116A1D}" xr6:coauthVersionLast="47" xr6:coauthVersionMax="47" xr10:uidLastSave="{00000000-0000-0000-0000-000000000000}"/>
  <bookViews>
    <workbookView xWindow="14160" yWindow="-21600" windowWidth="26010" windowHeight="20985" firstSheet="1" activeTab="1" xr2:uid="{B5F471FE-ED72-44AC-A853-E068A8A91250}"/>
  </bookViews>
  <sheets>
    <sheet name="Introduction " sheetId="11" r:id="rId1"/>
    <sheet name="Energy Calculator" sheetId="1" r:id="rId2"/>
    <sheet name="Summary Graphs" sheetId="5" r:id="rId3"/>
    <sheet name="Parameters" sheetId="4" r:id="rId4"/>
    <sheet name="Background Calcs" sheetId="10" state="hidden" r:id="rId5"/>
    <sheet name="Example" sheetId="12" r:id="rId6"/>
  </sheets>
  <definedNames>
    <definedName name="_xlnm._FilterDatabase" localSheetId="1" hidden="1">'Energy Calculator'!$H$20:$H$20</definedName>
    <definedName name="Electricity__kWh">'Energy Calculator'!$C$21:$C$32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5" l="1"/>
  <c r="B1" i="1"/>
  <c r="C13" i="4" l="1"/>
  <c r="C12" i="4"/>
  <c r="C10" i="4"/>
  <c r="C11" i="4"/>
  <c r="I21" i="1" a="1"/>
  <c r="I21" i="1" s="1"/>
  <c r="I23" i="1" a="1"/>
  <c r="I23" i="1" s="1"/>
  <c r="I24" i="1" a="1"/>
  <c r="I24" i="1" s="1"/>
  <c r="I25" i="1" a="1"/>
  <c r="I25" i="1" s="1"/>
  <c r="I26" i="1" a="1"/>
  <c r="I26" i="1" s="1"/>
  <c r="I27" i="1" a="1"/>
  <c r="I27" i="1" s="1"/>
  <c r="I28" i="1" a="1"/>
  <c r="I28" i="1" s="1"/>
  <c r="I29" i="1" a="1"/>
  <c r="I29" i="1" s="1"/>
  <c r="I30" i="1" a="1"/>
  <c r="I30" i="1" s="1"/>
  <c r="I31" i="1" a="1"/>
  <c r="I31" i="1" s="1"/>
  <c r="I32" i="1" a="1"/>
  <c r="I32" i="1" s="1"/>
  <c r="D46" i="1"/>
  <c r="D47" i="1"/>
  <c r="D48" i="1"/>
  <c r="D49" i="1"/>
  <c r="D50" i="1"/>
  <c r="D51" i="1"/>
  <c r="D52" i="1"/>
  <c r="D53" i="1"/>
  <c r="D54" i="1"/>
  <c r="D55" i="1"/>
  <c r="D56" i="1"/>
  <c r="D45" i="1"/>
  <c r="B45" i="1"/>
  <c r="B46" i="1" s="1"/>
  <c r="B47" i="1" s="1"/>
  <c r="B48" i="1" s="1"/>
  <c r="B49" i="1" s="1"/>
  <c r="B50" i="1" s="1"/>
  <c r="B51" i="1" s="1"/>
  <c r="B52" i="1" s="1"/>
  <c r="B53" i="1" s="1"/>
  <c r="B54" i="1" s="1"/>
  <c r="B55" i="1" s="1"/>
  <c r="B56" i="1" s="1"/>
  <c r="G5" i="10"/>
  <c r="C17" i="4"/>
  <c r="D17" i="4"/>
  <c r="E17" i="4"/>
  <c r="D16" i="4"/>
  <c r="L23" i="1" l="1" a="1"/>
  <c r="L23" i="1" s="1"/>
  <c r="L22" i="1" a="1"/>
  <c r="L22" i="1" s="1"/>
  <c r="L28" i="1" a="1"/>
  <c r="L28" i="1" s="1"/>
  <c r="L27" i="1" a="1"/>
  <c r="L27" i="1" s="1"/>
  <c r="L29" i="1" a="1"/>
  <c r="L29" i="1" s="1"/>
  <c r="L25" i="1" a="1"/>
  <c r="L25" i="1" s="1"/>
  <c r="L24" i="1" a="1"/>
  <c r="L24" i="1" s="1"/>
  <c r="L21" i="1" a="1"/>
  <c r="L21" i="1" s="1"/>
  <c r="N45" i="1" s="1"/>
  <c r="L32" i="1" a="1"/>
  <c r="L32" i="1" s="1"/>
  <c r="L31" i="1" a="1"/>
  <c r="L31" i="1" s="1"/>
  <c r="L30" i="1" a="1"/>
  <c r="L30" i="1" s="1"/>
  <c r="L26" i="1" a="1"/>
  <c r="L26" i="1" s="1"/>
  <c r="C6" i="4"/>
  <c r="C5" i="4"/>
  <c r="F39" i="1"/>
  <c r="M47" i="1" l="1"/>
  <c r="M45" i="1"/>
  <c r="M46" i="1"/>
  <c r="M54" i="1"/>
  <c r="M50" i="1"/>
  <c r="M51" i="1"/>
  <c r="M55" i="1"/>
  <c r="M52" i="1"/>
  <c r="M53" i="1"/>
  <c r="M48" i="1"/>
  <c r="M56" i="1"/>
  <c r="M49" i="1"/>
  <c r="D57" i="1" l="1"/>
  <c r="C57" i="1"/>
  <c r="F35" i="10"/>
  <c r="G35" i="10"/>
  <c r="H35" i="10"/>
  <c r="I35" i="10"/>
  <c r="J35" i="10"/>
  <c r="K35" i="10"/>
  <c r="L35" i="10"/>
  <c r="M35" i="10"/>
  <c r="N35" i="10"/>
  <c r="O35" i="10"/>
  <c r="P35" i="10"/>
  <c r="Q35" i="10"/>
  <c r="R35" i="10"/>
  <c r="E35" i="10"/>
  <c r="C34" i="10"/>
  <c r="C33" i="10"/>
  <c r="C32" i="10"/>
  <c r="C31" i="10"/>
  <c r="C30" i="10"/>
  <c r="C29" i="10"/>
  <c r="C28" i="10"/>
  <c r="C27" i="10"/>
  <c r="C26" i="10"/>
  <c r="C25" i="10"/>
  <c r="C24" i="10"/>
  <c r="C23" i="10"/>
  <c r="H56" i="1"/>
  <c r="H55" i="1"/>
  <c r="H54" i="1"/>
  <c r="H53" i="1"/>
  <c r="H52" i="1"/>
  <c r="H51" i="1"/>
  <c r="H50" i="1"/>
  <c r="H49" i="1"/>
  <c r="H48" i="1"/>
  <c r="H47" i="1"/>
  <c r="H46" i="1"/>
  <c r="H45" i="1"/>
  <c r="C9" i="10" l="1"/>
  <c r="G14" i="10"/>
  <c r="G9" i="10"/>
  <c r="G10" i="10"/>
  <c r="G16" i="10"/>
  <c r="G11" i="10"/>
  <c r="G15" i="10"/>
  <c r="G12" i="10"/>
  <c r="G13" i="10"/>
  <c r="G6" i="10"/>
  <c r="G7" i="10"/>
  <c r="G8" i="10"/>
  <c r="L48" i="1"/>
  <c r="L52" i="1"/>
  <c r="L45" i="1"/>
  <c r="L53" i="1"/>
  <c r="L56" i="1"/>
  <c r="L46" i="1"/>
  <c r="L54" i="1"/>
  <c r="L47" i="1"/>
  <c r="L49" i="1"/>
  <c r="L50" i="1"/>
  <c r="L51" i="1"/>
  <c r="L55" i="1"/>
  <c r="B26" i="1"/>
  <c r="B25" i="1"/>
  <c r="B27" i="1"/>
  <c r="B28" i="1"/>
  <c r="B21" i="1"/>
  <c r="B29" i="1"/>
  <c r="B22" i="1"/>
  <c r="B30" i="1"/>
  <c r="B23" i="1"/>
  <c r="B31" i="1"/>
  <c r="B24" i="1"/>
  <c r="B32" i="1"/>
  <c r="B7" i="10"/>
  <c r="B25" i="10"/>
  <c r="B15" i="10"/>
  <c r="B33" i="10"/>
  <c r="C35" i="10"/>
  <c r="C8" i="10"/>
  <c r="C14" i="10"/>
  <c r="C13" i="10"/>
  <c r="C15" i="10"/>
  <c r="C16" i="10"/>
  <c r="C12" i="10"/>
  <c r="C5" i="10"/>
  <c r="C11" i="10"/>
  <c r="C10" i="10"/>
  <c r="C6" i="10"/>
  <c r="C7" i="10"/>
  <c r="B11" i="10"/>
  <c r="B29" i="10"/>
  <c r="B8" i="10"/>
  <c r="B26" i="10"/>
  <c r="B12" i="10"/>
  <c r="B30" i="10"/>
  <c r="B16" i="10"/>
  <c r="B34" i="10"/>
  <c r="B5" i="10"/>
  <c r="B23" i="10"/>
  <c r="B9" i="10"/>
  <c r="B27" i="10"/>
  <c r="B13" i="10"/>
  <c r="B31" i="10"/>
  <c r="B6" i="10"/>
  <c r="B24" i="10"/>
  <c r="B10" i="10"/>
  <c r="B28" i="10"/>
  <c r="B14" i="10"/>
  <c r="B32" i="10"/>
  <c r="K32" i="1"/>
  <c r="K24" i="1"/>
  <c r="K29" i="1"/>
  <c r="K23" i="1"/>
  <c r="K22" i="1"/>
  <c r="K28" i="1"/>
  <c r="K26" i="1"/>
  <c r="K31" i="1"/>
  <c r="K30" i="1"/>
  <c r="K27" i="1"/>
  <c r="K21" i="1"/>
  <c r="K25" i="1"/>
  <c r="C17" i="10" l="1"/>
  <c r="C4" i="4"/>
  <c r="E6" i="10" l="1" a="1"/>
  <c r="E6" i="10" s="1"/>
  <c r="E7" i="10" a="1"/>
  <c r="E7" i="10" s="1"/>
  <c r="E9" i="10" a="1"/>
  <c r="E9" i="10" s="1"/>
  <c r="E5" i="10" a="1"/>
  <c r="E5" i="10" s="1"/>
  <c r="E14" i="10" a="1"/>
  <c r="E14" i="10" s="1"/>
  <c r="E10" i="10" a="1"/>
  <c r="E10" i="10" s="1"/>
  <c r="E15" i="10" a="1"/>
  <c r="E15" i="10" s="1"/>
  <c r="E11" i="10" a="1"/>
  <c r="E11" i="10" s="1"/>
  <c r="E16" i="10" a="1"/>
  <c r="E16" i="10" s="1"/>
  <c r="E12" i="10" a="1"/>
  <c r="E12" i="10" s="1"/>
  <c r="E13" i="10" a="1"/>
  <c r="E13" i="10" s="1"/>
  <c r="E8" i="10" a="1"/>
  <c r="E8" i="10" s="1"/>
  <c r="C7" i="4"/>
  <c r="D6" i="10"/>
  <c r="D5" i="10"/>
  <c r="D7" i="10"/>
  <c r="D8" i="10"/>
  <c r="D9" i="10"/>
  <c r="D10" i="10"/>
  <c r="D11" i="10"/>
  <c r="D12" i="10"/>
  <c r="E16" i="4"/>
  <c r="C16" i="4"/>
  <c r="E21" i="4"/>
  <c r="E23" i="4" s="1"/>
  <c r="F21" i="4"/>
  <c r="F23" i="4" s="1"/>
  <c r="C21" i="4"/>
  <c r="D21" i="4"/>
  <c r="D23" i="4" s="1"/>
  <c r="J47" i="1" l="1"/>
  <c r="I47" i="1"/>
  <c r="J50" i="1"/>
  <c r="I50" i="1"/>
  <c r="J52" i="1"/>
  <c r="I52" i="1"/>
  <c r="J48" i="1"/>
  <c r="I48" i="1"/>
  <c r="I22" i="1" a="1"/>
  <c r="I22" i="1" s="1"/>
  <c r="D13" i="10"/>
  <c r="C23" i="4"/>
  <c r="H13" i="10" s="1"/>
  <c r="H8" i="10"/>
  <c r="H33" i="1"/>
  <c r="C33" i="1"/>
  <c r="J53" i="1" l="1"/>
  <c r="I53" i="1"/>
  <c r="J49" i="1"/>
  <c r="I49" i="1"/>
  <c r="J51" i="1"/>
  <c r="I51" i="1"/>
  <c r="J54" i="1"/>
  <c r="I54" i="1"/>
  <c r="J55" i="1"/>
  <c r="I55" i="1"/>
  <c r="J46" i="1"/>
  <c r="I46" i="1"/>
  <c r="J56" i="1"/>
  <c r="I56" i="1"/>
  <c r="J45" i="1"/>
  <c r="I45" i="1"/>
  <c r="H9" i="10"/>
  <c r="F15" i="10"/>
  <c r="H14" i="10"/>
  <c r="H15" i="10"/>
  <c r="H11" i="10"/>
  <c r="F12" i="10"/>
  <c r="D14" i="10"/>
  <c r="H7" i="10"/>
  <c r="F13" i="10"/>
  <c r="H12" i="10"/>
  <c r="F8" i="10"/>
  <c r="I8" i="10" s="1"/>
  <c r="H5" i="10"/>
  <c r="F10" i="10"/>
  <c r="F11" i="10"/>
  <c r="F14" i="10"/>
  <c r="F6" i="10"/>
  <c r="H10" i="10"/>
  <c r="H16" i="10"/>
  <c r="F9" i="10"/>
  <c r="H6" i="10"/>
  <c r="F5" i="10"/>
  <c r="F7" i="10"/>
  <c r="I57" i="1" l="1"/>
  <c r="I9" i="10"/>
  <c r="I14" i="10"/>
  <c r="F33" i="1"/>
  <c r="I11" i="10"/>
  <c r="I12" i="10"/>
  <c r="D15" i="10"/>
  <c r="I13" i="10"/>
  <c r="I6" i="10"/>
  <c r="I5" i="10"/>
  <c r="I10" i="10"/>
  <c r="I7" i="10"/>
  <c r="H17" i="10"/>
  <c r="I15" i="10" l="1"/>
  <c r="G33" i="1"/>
  <c r="F16" i="10"/>
  <c r="F17" i="10" s="1"/>
  <c r="D16" i="10"/>
  <c r="D17" i="10" s="1"/>
  <c r="D33" i="1"/>
  <c r="E33" i="1"/>
  <c r="I33" i="1" l="1" a="1"/>
  <c r="I33" i="1" s="1"/>
  <c r="G17" i="10"/>
  <c r="I16" i="10"/>
  <c r="M57" i="1" l="1"/>
  <c r="J57" i="1"/>
  <c r="E17" i="10"/>
  <c r="L33" i="1"/>
  <c r="I17" i="10" l="1"/>
  <c r="C18" i="10" l="1"/>
  <c r="H18" i="10"/>
  <c r="F18" i="10"/>
  <c r="D18" i="10"/>
  <c r="D19" i="10" s="1"/>
  <c r="G18" i="10"/>
  <c r="E18" i="10"/>
  <c r="E19" i="10" s="1"/>
  <c r="E4" i="10" l="1"/>
  <c r="H4" i="10"/>
  <c r="H19" i="10"/>
  <c r="C4" i="10"/>
  <c r="C19" i="10"/>
  <c r="F19" i="10"/>
  <c r="F4" i="10"/>
  <c r="G19" i="10"/>
  <c r="G4" i="10"/>
  <c r="D4" i="10"/>
  <c r="N53" i="1" l="1"/>
  <c r="N51" i="1"/>
  <c r="N50" i="1"/>
  <c r="N49" i="1"/>
  <c r="N56" i="1"/>
  <c r="N48" i="1"/>
  <c r="N52" i="1"/>
  <c r="N55" i="1"/>
  <c r="N47" i="1"/>
  <c r="N54" i="1"/>
  <c r="N46" i="1"/>
  <c r="N57"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<sst xmlns="http://schemas.openxmlformats.org/spreadsheetml/2006/main" count="372" uniqueCount="119">
  <si>
    <t> </t>
  </si>
  <si>
    <t> Energy Intensity Calculator - Hotel Sector</t>
  </si>
  <si>
    <t xml:space="preserve">Introduction </t>
  </si>
  <si>
    <t>The most important step in energy management and conservation is measuring and accounting for energy consumption.
EECA works with Hospitality NZ, Hotels Council Aotearoa and Tourism Industry Aotearoa to help members know what to measure and how to measure.
A measurement of current energy use will allow users to identify their potential energy and cost savings opportunities and will highlight success post optimisation.
This calculator is designed for individual site use only to support with their energy usage.
Note: multiple factors influence energy intensity such as geographic area, fuel type and type of produce. This tool is only designed to support sites in understanding a basic energy measurement.</t>
  </si>
  <si>
    <t>Instructions</t>
  </si>
  <si>
    <t>Steps</t>
  </si>
  <si>
    <r>
      <t>In the</t>
    </r>
    <r>
      <rPr>
        <sz val="10"/>
        <color rgb="FFFF0000"/>
        <rFont val="Arial"/>
        <family val="2"/>
      </rPr>
      <t xml:space="preserve"> </t>
    </r>
    <r>
      <rPr>
        <sz val="10"/>
        <rFont val="Arial"/>
        <family val="2"/>
      </rPr>
      <t>Energy</t>
    </r>
    <r>
      <rPr>
        <sz val="10"/>
        <color rgb="FF164057"/>
        <rFont val="Arial"/>
        <family val="2"/>
      </rPr>
      <t xml:space="preserve"> Calculator tab, fill in monthly production data. The tool gives the options of multiple entries of differing batch types in kg</t>
    </r>
  </si>
  <si>
    <t xml:space="preserve">Enter your Energy usage. This can be found in your energy bills - the amount of energy consumed within that given month. The tool has inputs for many different types of fuel. Enter the total consumed under the relevant your fuel type. </t>
  </si>
  <si>
    <r>
      <t xml:space="preserve">Note </t>
    </r>
    <r>
      <rPr>
        <u val="double"/>
        <sz val="10"/>
        <color rgb="FF164057"/>
        <rFont val="Arial"/>
        <family val="2"/>
      </rPr>
      <t xml:space="preserve">it is important that you enter under the correct fuel type as the energy intensity in MJ and emissions factors are different for each different fuel type. </t>
    </r>
  </si>
  <si>
    <t>The energy intensity for the given month will be displayed in yellow (if Step 1-3 have been filled in correctly)</t>
  </si>
  <si>
    <t xml:space="preserve">This will show the energy used per kg of production for that month </t>
  </si>
  <si>
    <t>Total tons of CO2 emissions are also displayed.</t>
  </si>
  <si>
    <t>Repeat steps 2 &amp; 3 for each month and the tool will calculate the annual energy intensity along with displaying the month.</t>
  </si>
  <si>
    <t>Key</t>
  </si>
  <si>
    <t xml:space="preserve">This helps display variations in season and other anomalies. </t>
  </si>
  <si>
    <t>Editable</t>
  </si>
  <si>
    <t>Total sum of cells</t>
  </si>
  <si>
    <t>Notes:</t>
  </si>
  <si>
    <t>Calculation output</t>
  </si>
  <si>
    <t xml:space="preserve">Moving cells or changing calculations will cause inaccurate results </t>
  </si>
  <si>
    <t xml:space="preserve">Do not change anything on the parameters tab, this will affect results  </t>
  </si>
  <si>
    <t>Data Entry</t>
  </si>
  <si>
    <r>
      <rPr>
        <b/>
        <sz val="11"/>
        <color theme="1"/>
        <rFont val="Franklin Gothic Book"/>
        <family val="2"/>
      </rPr>
      <t>Note</t>
    </r>
    <r>
      <rPr>
        <sz val="11"/>
        <color theme="1"/>
        <rFont val="Franklin Gothic Book"/>
        <family val="2"/>
      </rPr>
      <t>: the purpose of this tool is to calculate emissions for the energy that is the responsibility of the site operator. 
This means any energy used by the Hotel based on emissions per room sold.</t>
    </r>
  </si>
  <si>
    <t>Calculated Values</t>
  </si>
  <si>
    <t>Final Metrics</t>
  </si>
  <si>
    <t>Enter site details</t>
  </si>
  <si>
    <t>Site name</t>
  </si>
  <si>
    <t>Start Date</t>
  </si>
  <si>
    <t>Region</t>
  </si>
  <si>
    <t>Hotel 1</t>
  </si>
  <si>
    <t>Northland</t>
  </si>
  <si>
    <t>Enter energy usage</t>
  </si>
  <si>
    <t>Enter monthly energy usage details below for the months specified:</t>
  </si>
  <si>
    <t>Energy &amp; Fuel consumption</t>
  </si>
  <si>
    <t>Total emissions</t>
  </si>
  <si>
    <t xml:space="preserve">Electricity (kWh) </t>
  </si>
  <si>
    <t>Natural Gas</t>
  </si>
  <si>
    <t>LPG</t>
  </si>
  <si>
    <t>Diesel (L)</t>
  </si>
  <si>
    <t>Biomass (T)</t>
  </si>
  <si>
    <t>Coal  (T)</t>
  </si>
  <si>
    <t>Total (kWh)</t>
  </si>
  <si>
    <t>kg CO2-e</t>
  </si>
  <si>
    <r>
      <rPr>
        <b/>
        <sz val="11"/>
        <color theme="1"/>
        <rFont val="Franklin Gothic Book"/>
        <family val="2"/>
      </rPr>
      <t>↓</t>
    </r>
    <r>
      <rPr>
        <b/>
        <i/>
        <sz val="11"/>
        <color theme="1"/>
        <rFont val="Franklin Gothic Book"/>
        <family val="2"/>
      </rPr>
      <t xml:space="preserve"> Select unit if used</t>
    </r>
  </si>
  <si>
    <r>
      <rPr>
        <b/>
        <sz val="11"/>
        <color theme="1"/>
        <rFont val="Franklin Gothic Book"/>
        <family val="2"/>
      </rPr>
      <t>↓</t>
    </r>
    <r>
      <rPr>
        <b/>
        <i/>
        <sz val="11"/>
        <color theme="1"/>
        <rFont val="Franklin Gothic Book"/>
        <family val="2"/>
      </rPr>
      <t xml:space="preserve"> Select type if used</t>
    </r>
  </si>
  <si>
    <t>(GJ)</t>
  </si>
  <si>
    <t>Wood Chip (MC35%)</t>
  </si>
  <si>
    <t>Bituminous</t>
  </si>
  <si>
    <t>Total</t>
  </si>
  <si>
    <t>Total Hotel Area (number of rooms &amp; common spaces)</t>
  </si>
  <si>
    <t>Total area of guest rooms &amp; corridors (m2)</t>
  </si>
  <si>
    <t>total area of meeting facility space (m2)</t>
  </si>
  <si>
    <t>Total area of other temperature controlled space (m2)</t>
  </si>
  <si>
    <t>Total (m2)</t>
  </si>
  <si>
    <t>Quantity</t>
  </si>
  <si>
    <t>Total capacity</t>
  </si>
  <si>
    <t>Energy intensity</t>
  </si>
  <si>
    <t xml:space="preserve">Emissions intensity </t>
  </si>
  <si>
    <t>Total number of Guest rooms</t>
  </si>
  <si>
    <t>kWh/ total area</t>
  </si>
  <si>
    <t>kWh/ rooms sold</t>
  </si>
  <si>
    <t>kg CO2-e/ total area</t>
  </si>
  <si>
    <t>kg CO2-e/ rooms sold</t>
  </si>
  <si>
    <t>Number of occupied rooms</t>
  </si>
  <si>
    <t>Total (%)</t>
  </si>
  <si>
    <t>Average</t>
  </si>
  <si>
    <t>Parameters and emissions factors</t>
  </si>
  <si>
    <t>Energy unit conversions</t>
  </si>
  <si>
    <t>References</t>
  </si>
  <si>
    <t xml:space="preserve">GJ to kWh </t>
  </si>
  <si>
    <t>LPG L to kWh</t>
  </si>
  <si>
    <t>https://www.elgas.com.au/blog/389-lpg-conversions-kg-litres-mj-kwh-and-m3/</t>
  </si>
  <si>
    <t>LPG kg to kWh</t>
  </si>
  <si>
    <t>Diesel L to kWh</t>
  </si>
  <si>
    <t>https://ir.canterbury.ac.nz/handle/10092/11527</t>
  </si>
  <si>
    <t>CO2 emissions factors</t>
  </si>
  <si>
    <t>Electricity kWh to T CO2-e</t>
  </si>
  <si>
    <t>Incl. T&amp;D losses</t>
  </si>
  <si>
    <t>Measuring emissions: A guide for organisations: 2024 emission factors summary | Ministry for the Environment</t>
  </si>
  <si>
    <t>Natural gas kWh to T CO2-e</t>
  </si>
  <si>
    <t>LPG kWh to T CO2-e</t>
  </si>
  <si>
    <t>Diesel kWh to T CO2-e</t>
  </si>
  <si>
    <t>Biomass Type</t>
  </si>
  <si>
    <t>Wood Chip (MC25%)</t>
  </si>
  <si>
    <t>Pellets</t>
  </si>
  <si>
    <t>N/A</t>
  </si>
  <si>
    <t>Biomass Tonnes to kWh</t>
  </si>
  <si>
    <t>https://www.azwood.co.nz/Industrial+Energy.html</t>
  </si>
  <si>
    <t>Biomass Tonne to T CO2-e</t>
  </si>
  <si>
    <t>Measuring emissions: A guide for organisations: 2023 emission factors summary | Ministry for the Environment</t>
  </si>
  <si>
    <t>Coal Type</t>
  </si>
  <si>
    <t>Sub-bituminous</t>
  </si>
  <si>
    <t>Lignite</t>
  </si>
  <si>
    <t>Peat</t>
  </si>
  <si>
    <t>Coal Tonnes to MJ</t>
  </si>
  <si>
    <t>From EECA-Energy-Calculator (1) for Covered Crops</t>
  </si>
  <si>
    <t>Coal Tonnes to kWh</t>
  </si>
  <si>
    <t>Coal Tonnes to T CO2-e</t>
  </si>
  <si>
    <t>Coal kWh to T CO2-e</t>
  </si>
  <si>
    <t>Climate Data</t>
  </si>
  <si>
    <t>Average outside air temperatures for 2017-2022 were retrieved from CliFLo</t>
  </si>
  <si>
    <t>https://cliflo.niwa.co.nz/</t>
  </si>
  <si>
    <t>Last Updated</t>
  </si>
  <si>
    <t>T CO2-e</t>
  </si>
  <si>
    <t>Month</t>
  </si>
  <si>
    <t>OAT</t>
  </si>
  <si>
    <t>Auckland</t>
  </si>
  <si>
    <t>Waikato</t>
  </si>
  <si>
    <t>Bay of Plenty</t>
  </si>
  <si>
    <t>Hawkes Bay</t>
  </si>
  <si>
    <t>Taranaki</t>
  </si>
  <si>
    <t>Manawatu</t>
  </si>
  <si>
    <t>Wellington</t>
  </si>
  <si>
    <t>Tasman &amp; Marlborough</t>
  </si>
  <si>
    <t>Canterbury</t>
  </si>
  <si>
    <t>West Coast</t>
  </si>
  <si>
    <t xml:space="preserve">Dunedin </t>
  </si>
  <si>
    <t>Queenstown</t>
  </si>
  <si>
    <t>Southland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</si>
</sst>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 #,##0_-;\-* #,##0_-;_-* &quot;-&quot;??_-;_-@_-"/>
    <numFmt numFmtId="165" formatCode="#,##0.0"/>
    <numFmt numFmtId="166" formatCode="0.00000"/>
    <numFmt numFmtId="167" formatCode="0.0"/>
    <numFmt numFmtId="168" formatCode="_-* #,##0.000_-;\-* #,##0.000_-;_-* &quot;-&quot;??_-;_-@_-"/>
  </numFmts>
  <fonts count="33">
    <font>
      <sz val="11"/>
      <color theme="1"/>
      <name val="Calibri"/>
      <family val="2"/>
      <scheme val="minor"/>
    </font>
    <font>
      <sz val="11"/>
      <color theme="1"/>
      <name val="Calibri"/>
      <family val="2"/>
      <scheme val="minor"/>
    </font>
    <font>
      <b/>
      <sz val="11"/>
      <color theme="1"/>
      <name val="Calibri"/>
      <family val="2"/>
      <scheme val="minor"/>
    </font>
    <font>
      <b/>
      <sz val="11"/>
      <color theme="1"/>
      <name val="Sitka Banner Bold"/>
    </font>
    <font>
      <sz val="11"/>
      <color theme="1"/>
      <name val="Franklin Gothic Book"/>
      <family val="2"/>
    </font>
    <font>
      <b/>
      <sz val="11"/>
      <color theme="1"/>
      <name val="Franklin Gothic Book"/>
      <family val="2"/>
    </font>
    <font>
      <u/>
      <sz val="11"/>
      <color theme="10"/>
      <name val="Calibri"/>
      <family val="2"/>
      <scheme val="minor"/>
    </font>
    <font>
      <b/>
      <sz val="14"/>
      <color theme="1"/>
      <name val="Calibri"/>
      <family val="2"/>
      <scheme val="minor"/>
    </font>
    <font>
      <b/>
      <i/>
      <sz val="11"/>
      <color theme="1"/>
      <name val="Franklin Gothic Book"/>
      <family val="2"/>
    </font>
    <font>
      <sz val="11"/>
      <color theme="1"/>
      <name val="Sitka Banner Bold"/>
    </font>
    <font>
      <sz val="11"/>
      <name val="Calibri"/>
      <family val="2"/>
      <scheme val="minor"/>
    </font>
    <font>
      <b/>
      <sz val="11"/>
      <name val="Calibri"/>
      <family val="2"/>
      <scheme val="minor"/>
    </font>
    <font>
      <sz val="8"/>
      <name val="Calibri"/>
      <family val="2"/>
      <scheme val="minor"/>
    </font>
    <font>
      <b/>
      <sz val="11"/>
      <color theme="0"/>
      <name val="Franklin Gothic Book"/>
      <family val="2"/>
    </font>
    <font>
      <sz val="11"/>
      <color theme="0"/>
      <name val="Franklin Gothic Book"/>
      <family val="2"/>
    </font>
    <font>
      <i/>
      <sz val="11"/>
      <color theme="1"/>
      <name val="Franklin Gothic Book"/>
      <family val="2"/>
    </font>
    <font>
      <b/>
      <sz val="14"/>
      <color theme="1"/>
      <name val="Sitka Banner Bold"/>
    </font>
    <font>
      <b/>
      <sz val="11"/>
      <color theme="0"/>
      <name val="Calibri"/>
      <family val="2"/>
      <scheme val="minor"/>
    </font>
    <font>
      <sz val="11"/>
      <color theme="0"/>
      <name val="Calibri"/>
      <family val="2"/>
      <scheme val="minor"/>
    </font>
    <font>
      <b/>
      <sz val="11"/>
      <color rgb="FF000000"/>
      <name val="Calibri"/>
      <family val="2"/>
    </font>
    <font>
      <sz val="11"/>
      <color rgb="FF000000"/>
      <name val="Calibri"/>
      <family val="2"/>
    </font>
    <font>
      <sz val="24"/>
      <color rgb="FF164057"/>
      <name val="Arial"/>
      <family val="2"/>
    </font>
    <font>
      <sz val="10"/>
      <color rgb="FF164057"/>
      <name val="Arial"/>
      <family val="2"/>
    </font>
    <font>
      <b/>
      <sz val="12"/>
      <color rgb="FF164057"/>
      <name val="Arial"/>
      <family val="2"/>
    </font>
    <font>
      <sz val="10"/>
      <color rgb="FFFF0000"/>
      <name val="Arial"/>
      <family val="2"/>
    </font>
    <font>
      <sz val="10"/>
      <name val="Arial"/>
      <family val="2"/>
    </font>
    <font>
      <b/>
      <u val="double"/>
      <sz val="10"/>
      <color rgb="FF164057"/>
      <name val="Arial"/>
      <family val="2"/>
    </font>
    <font>
      <u val="double"/>
      <sz val="10"/>
      <color rgb="FF164057"/>
      <name val="Arial"/>
      <family val="2"/>
    </font>
    <font>
      <sz val="11"/>
      <color rgb="FF000000"/>
      <name val="Arial"/>
      <family val="2"/>
    </font>
    <font>
      <b/>
      <sz val="10"/>
      <color rgb="FF164057"/>
      <name val="Arial"/>
      <family val="2"/>
    </font>
    <font>
      <b/>
      <sz val="11"/>
      <color rgb="FF164057"/>
      <name val="Arial"/>
      <family val="2"/>
    </font>
    <font>
      <b/>
      <sz val="11"/>
      <color theme="1"/>
      <name val="Arial"/>
      <family val="2"/>
    </font>
    <font>
      <sz val="36"/>
      <color theme="0"/>
      <name val="Franklin Gothic Book"/>
      <family val="2"/>
    </font>
  </fonts>
  <fills count="16">
    <fill>
      <patternFill patternType="none"/>
    </fill>
    <fill>
      <patternFill patternType="gray125"/>
    </fill>
    <fill>
      <patternFill patternType="solid">
        <fgColor rgb="FF317575"/>
        <bgColor indexed="64"/>
      </patternFill>
    </fill>
    <fill>
      <patternFill patternType="solid">
        <fgColor rgb="FFAAC1C2"/>
        <bgColor indexed="64"/>
      </patternFill>
    </fill>
    <fill>
      <patternFill patternType="solid">
        <fgColor rgb="FF41B496"/>
        <bgColor indexed="64"/>
      </patternFill>
    </fill>
    <fill>
      <patternFill patternType="solid">
        <fgColor rgb="FF164057"/>
        <bgColor rgb="FF000000"/>
      </patternFill>
    </fill>
    <fill>
      <patternFill patternType="solid">
        <fgColor rgb="FFFFFFFF"/>
        <bgColor rgb="FF000000"/>
      </patternFill>
    </fill>
    <fill>
      <patternFill patternType="solid">
        <fgColor rgb="FFF2F2F2"/>
        <bgColor rgb="FF000000"/>
      </patternFill>
    </fill>
    <fill>
      <patternFill patternType="solid">
        <fgColor rgb="FFB8CAD4"/>
        <bgColor rgb="FF000000"/>
      </patternFill>
    </fill>
    <fill>
      <patternFill patternType="solid">
        <fgColor rgb="FFE7E6E6"/>
        <bgColor rgb="FF000000"/>
      </patternFill>
    </fill>
    <fill>
      <patternFill patternType="solid">
        <fgColor rgb="FF41B496"/>
        <bgColor rgb="FF000000"/>
      </patternFill>
    </fill>
    <fill>
      <patternFill patternType="solid">
        <fgColor theme="0" tint="-4.9989318521683403E-2"/>
        <bgColor indexed="64"/>
      </patternFill>
    </fill>
    <fill>
      <patternFill patternType="solid">
        <fgColor rgb="FFB8CAD4"/>
        <bgColor indexed="64"/>
      </patternFill>
    </fill>
    <fill>
      <patternFill patternType="solid">
        <fgColor theme="2"/>
        <bgColor indexed="64"/>
      </patternFill>
    </fill>
    <fill>
      <patternFill patternType="solid">
        <fgColor rgb="FFFFFF00"/>
        <bgColor indexed="64"/>
      </patternFill>
    </fill>
    <fill>
      <patternFill patternType="solid">
        <fgColor rgb="FF164057"/>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indexed="64"/>
      </top>
      <bottom style="thin">
        <color theme="0"/>
      </bottom>
      <diagonal/>
    </border>
    <border>
      <left/>
      <right style="thin">
        <color theme="0"/>
      </right>
      <top style="thin">
        <color theme="0"/>
      </top>
      <bottom style="thin">
        <color indexed="64"/>
      </bottom>
      <diagonal/>
    </border>
    <border>
      <left/>
      <right style="thin">
        <color theme="0"/>
      </right>
      <top/>
      <bottom/>
      <diagonal/>
    </border>
    <border>
      <left style="thin">
        <color theme="0"/>
      </left>
      <right style="thin">
        <color theme="0"/>
      </right>
      <top style="thin">
        <color theme="0"/>
      </top>
      <bottom style="thin">
        <color indexed="64"/>
      </bottom>
      <diagonal/>
    </border>
    <border>
      <left/>
      <right style="thin">
        <color theme="0"/>
      </right>
      <top/>
      <bottom style="thin">
        <color theme="0"/>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0"/>
      </left>
      <right/>
      <top/>
      <bottom/>
      <diagonal/>
    </border>
    <border>
      <left style="thin">
        <color theme="0"/>
      </left>
      <right/>
      <top style="thin">
        <color theme="0"/>
      </top>
      <bottom style="thin">
        <color indexed="64"/>
      </bottom>
      <diagonal/>
    </border>
    <border>
      <left/>
      <right/>
      <top style="thin">
        <color theme="0"/>
      </top>
      <bottom style="thin">
        <color indexed="64"/>
      </bottom>
      <diagonal/>
    </border>
    <border>
      <left style="thin">
        <color theme="0"/>
      </left>
      <right/>
      <top/>
      <bottom style="thin">
        <color theme="0"/>
      </bottom>
      <diagonal/>
    </border>
    <border>
      <left style="thin">
        <color theme="0"/>
      </left>
      <right style="thin">
        <color theme="0"/>
      </right>
      <top style="thin">
        <color rgb="FF317575"/>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diagonal/>
    </border>
    <border>
      <left/>
      <right style="medium">
        <color rgb="FF000000"/>
      </right>
      <top/>
      <bottom style="medium">
        <color rgb="FF000000"/>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189">
    <xf numFmtId="0" fontId="0" fillId="0" borderId="0" xfId="0"/>
    <xf numFmtId="0" fontId="4" fillId="0" borderId="0" xfId="0" applyFont="1"/>
    <xf numFmtId="0" fontId="6" fillId="0" borderId="0" xfId="2"/>
    <xf numFmtId="0" fontId="0" fillId="0" borderId="7" xfId="0" applyBorder="1"/>
    <xf numFmtId="3" fontId="5" fillId="0" borderId="0" xfId="0" applyNumberFormat="1" applyFont="1"/>
    <xf numFmtId="0" fontId="13" fillId="2" borderId="5" xfId="0" applyFont="1" applyFill="1" applyBorder="1"/>
    <xf numFmtId="0" fontId="13" fillId="2" borderId="6" xfId="0" applyFont="1" applyFill="1" applyBorder="1" applyAlignment="1">
      <alignment horizontal="centerContinuous" vertical="top"/>
    </xf>
    <xf numFmtId="0" fontId="14" fillId="2" borderId="6" xfId="0" applyFont="1" applyFill="1" applyBorder="1" applyAlignment="1">
      <alignment horizontal="centerContinuous"/>
    </xf>
    <xf numFmtId="0" fontId="14" fillId="2" borderId="10" xfId="0" applyFont="1" applyFill="1" applyBorder="1"/>
    <xf numFmtId="0" fontId="13" fillId="2" borderId="9" xfId="0" applyFont="1" applyFill="1" applyBorder="1" applyAlignment="1">
      <alignment vertical="top"/>
    </xf>
    <xf numFmtId="0" fontId="13" fillId="2" borderId="0" xfId="0" applyFont="1" applyFill="1" applyAlignment="1">
      <alignment vertical="top" wrapText="1"/>
    </xf>
    <xf numFmtId="0" fontId="13" fillId="2" borderId="11" xfId="0" applyFont="1" applyFill="1" applyBorder="1"/>
    <xf numFmtId="17" fontId="4" fillId="3" borderId="9" xfId="0" applyNumberFormat="1" applyFont="1" applyFill="1" applyBorder="1" applyAlignment="1">
      <alignment horizontal="left"/>
    </xf>
    <xf numFmtId="4" fontId="4" fillId="3" borderId="0" xfId="0" applyNumberFormat="1" applyFont="1" applyFill="1"/>
    <xf numFmtId="0" fontId="4" fillId="3" borderId="11" xfId="0" applyFont="1" applyFill="1" applyBorder="1"/>
    <xf numFmtId="0" fontId="5" fillId="3" borderId="9" xfId="0" applyFont="1" applyFill="1" applyBorder="1" applyAlignment="1">
      <alignment horizontal="left"/>
    </xf>
    <xf numFmtId="3" fontId="5" fillId="3" borderId="0" xfId="0" applyNumberFormat="1" applyFont="1" applyFill="1"/>
    <xf numFmtId="3" fontId="5" fillId="3" borderId="11" xfId="0" applyNumberFormat="1" applyFont="1" applyFill="1" applyBorder="1"/>
    <xf numFmtId="0" fontId="4" fillId="3" borderId="9" xfId="0" applyFont="1" applyFill="1" applyBorder="1"/>
    <xf numFmtId="10" fontId="4" fillId="3" borderId="0" xfId="0" applyNumberFormat="1" applyFont="1" applyFill="1"/>
    <xf numFmtId="0" fontId="4" fillId="3" borderId="12" xfId="0" applyFont="1" applyFill="1" applyBorder="1"/>
    <xf numFmtId="3" fontId="4" fillId="3" borderId="7" xfId="0" applyNumberFormat="1" applyFont="1" applyFill="1" applyBorder="1"/>
    <xf numFmtId="0" fontId="4" fillId="3" borderId="13" xfId="0" applyFont="1" applyFill="1" applyBorder="1"/>
    <xf numFmtId="0" fontId="13" fillId="2" borderId="5" xfId="0" applyFont="1" applyFill="1" applyBorder="1" applyAlignment="1">
      <alignment vertical="top"/>
    </xf>
    <xf numFmtId="0" fontId="13" fillId="2" borderId="6" xfId="0" applyFont="1" applyFill="1" applyBorder="1" applyAlignment="1">
      <alignment vertical="top"/>
    </xf>
    <xf numFmtId="0" fontId="13" fillId="2" borderId="6" xfId="0" applyFont="1" applyFill="1" applyBorder="1" applyAlignment="1">
      <alignment vertical="top" wrapText="1"/>
    </xf>
    <xf numFmtId="0" fontId="13" fillId="2" borderId="10" xfId="0" applyFont="1" applyFill="1" applyBorder="1" applyAlignment="1">
      <alignment vertical="top" wrapText="1"/>
    </xf>
    <xf numFmtId="17" fontId="4" fillId="3" borderId="9" xfId="0" applyNumberFormat="1" applyFont="1" applyFill="1" applyBorder="1"/>
    <xf numFmtId="167" fontId="4" fillId="3" borderId="0" xfId="0" applyNumberFormat="1" applyFont="1" applyFill="1"/>
    <xf numFmtId="0" fontId="4" fillId="3" borderId="0" xfId="0" applyFont="1" applyFill="1"/>
    <xf numFmtId="165" fontId="4" fillId="3" borderId="0" xfId="0" applyNumberFormat="1" applyFont="1" applyFill="1"/>
    <xf numFmtId="165" fontId="4" fillId="3" borderId="11" xfId="0" applyNumberFormat="1" applyFont="1" applyFill="1" applyBorder="1"/>
    <xf numFmtId="165" fontId="5" fillId="3" borderId="7" xfId="0" applyNumberFormat="1" applyFont="1" applyFill="1" applyBorder="1"/>
    <xf numFmtId="0" fontId="4" fillId="3" borderId="7" xfId="0" applyFont="1" applyFill="1" applyBorder="1"/>
    <xf numFmtId="165" fontId="5" fillId="3" borderId="13" xfId="0" applyNumberFormat="1" applyFont="1" applyFill="1" applyBorder="1"/>
    <xf numFmtId="0" fontId="0" fillId="0" borderId="14" xfId="0" applyBorder="1"/>
    <xf numFmtId="4" fontId="0" fillId="0" borderId="14" xfId="0" applyNumberFormat="1" applyBorder="1"/>
    <xf numFmtId="0" fontId="0" fillId="0" borderId="14" xfId="0" applyBorder="1" applyAlignment="1">
      <alignment horizontal="right"/>
    </xf>
    <xf numFmtId="3" fontId="0" fillId="0" borderId="14" xfId="0" applyNumberFormat="1" applyBorder="1"/>
    <xf numFmtId="3" fontId="10" fillId="0" borderId="14" xfId="2" applyNumberFormat="1" applyFont="1" applyBorder="1"/>
    <xf numFmtId="0" fontId="6" fillId="0" borderId="14" xfId="2" applyBorder="1"/>
    <xf numFmtId="166" fontId="0" fillId="0" borderId="14" xfId="0" applyNumberFormat="1" applyBorder="1"/>
    <xf numFmtId="0" fontId="2" fillId="0" borderId="14" xfId="0" applyFont="1" applyBorder="1" applyAlignment="1">
      <alignment horizontal="right"/>
    </xf>
    <xf numFmtId="0" fontId="10" fillId="0" borderId="14" xfId="2" applyFont="1" applyBorder="1"/>
    <xf numFmtId="0" fontId="6" fillId="0" borderId="14" xfId="2" applyBorder="1" applyAlignment="1">
      <alignment vertical="top" wrapText="1"/>
    </xf>
    <xf numFmtId="0" fontId="7" fillId="0" borderId="14" xfId="0" applyFont="1" applyBorder="1" applyAlignment="1">
      <alignment horizontal="left"/>
    </xf>
    <xf numFmtId="0" fontId="0" fillId="0" borderId="14" xfId="0" applyBorder="1" applyAlignment="1">
      <alignment horizontal="center"/>
    </xf>
    <xf numFmtId="0" fontId="0" fillId="0" borderId="16" xfId="0" applyBorder="1"/>
    <xf numFmtId="0" fontId="0" fillId="0" borderId="19" xfId="0" applyBorder="1"/>
    <xf numFmtId="0" fontId="0" fillId="0" borderId="15"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17" xfId="0" applyBorder="1"/>
    <xf numFmtId="0" fontId="0" fillId="0" borderId="18" xfId="0" applyBorder="1"/>
    <xf numFmtId="0" fontId="0" fillId="0" borderId="24" xfId="0" applyBorder="1"/>
    <xf numFmtId="0" fontId="2" fillId="0" borderId="18" xfId="0" applyFont="1" applyBorder="1" applyAlignment="1">
      <alignment horizontal="right"/>
    </xf>
    <xf numFmtId="0" fontId="0" fillId="0" borderId="25" xfId="0" applyBorder="1" applyAlignment="1">
      <alignment horizontal="right"/>
    </xf>
    <xf numFmtId="0" fontId="0" fillId="0" borderId="25" xfId="0" applyBorder="1"/>
    <xf numFmtId="166" fontId="0" fillId="0" borderId="25" xfId="0" applyNumberFormat="1" applyBorder="1"/>
    <xf numFmtId="166" fontId="2" fillId="0" borderId="18" xfId="0" applyNumberFormat="1" applyFont="1" applyBorder="1" applyAlignment="1">
      <alignment horizontal="right"/>
    </xf>
    <xf numFmtId="0" fontId="6" fillId="0" borderId="25" xfId="2" applyBorder="1"/>
    <xf numFmtId="0" fontId="11" fillId="0" borderId="18" xfId="2" applyFont="1" applyBorder="1" applyAlignment="1">
      <alignment horizontal="right"/>
    </xf>
    <xf numFmtId="0" fontId="2" fillId="0" borderId="19" xfId="0" applyFont="1" applyBorder="1" applyAlignment="1">
      <alignment horizontal="right"/>
    </xf>
    <xf numFmtId="3" fontId="0" fillId="0" borderId="19" xfId="0" applyNumberFormat="1" applyBorder="1"/>
    <xf numFmtId="4" fontId="0" fillId="0" borderId="19" xfId="0" applyNumberFormat="1" applyBorder="1"/>
    <xf numFmtId="166" fontId="0" fillId="0" borderId="19" xfId="0" applyNumberFormat="1" applyBorder="1"/>
    <xf numFmtId="0" fontId="6" fillId="0" borderId="15" xfId="2" applyBorder="1" applyAlignment="1">
      <alignment vertical="top" wrapText="1"/>
    </xf>
    <xf numFmtId="0" fontId="10" fillId="0" borderId="19" xfId="2" applyFont="1" applyFill="1" applyBorder="1"/>
    <xf numFmtId="0" fontId="6" fillId="0" borderId="19" xfId="2" applyBorder="1" applyAlignment="1">
      <alignment vertical="top" wrapText="1"/>
    </xf>
    <xf numFmtId="0" fontId="0" fillId="0" borderId="26" xfId="0" applyBorder="1"/>
    <xf numFmtId="0" fontId="0" fillId="0" borderId="27" xfId="0" applyBorder="1"/>
    <xf numFmtId="0" fontId="0" fillId="0" borderId="28" xfId="0" applyBorder="1"/>
    <xf numFmtId="0" fontId="6" fillId="0" borderId="16" xfId="2" applyBorder="1" applyAlignment="1">
      <alignment vertical="top" wrapText="1"/>
    </xf>
    <xf numFmtId="0" fontId="6" fillId="0" borderId="19" xfId="2" applyBorder="1"/>
    <xf numFmtId="0" fontId="0" fillId="0" borderId="29" xfId="0" applyBorder="1"/>
    <xf numFmtId="0" fontId="4" fillId="0" borderId="0" xfId="0" applyFont="1" applyAlignment="1">
      <alignment horizontal="center"/>
    </xf>
    <xf numFmtId="0" fontId="3" fillId="0" borderId="0" xfId="0" applyFont="1" applyAlignment="1">
      <alignment vertical="center"/>
    </xf>
    <xf numFmtId="0" fontId="4" fillId="0" borderId="0" xfId="0" applyFont="1" applyAlignment="1">
      <alignment horizontal="left"/>
    </xf>
    <xf numFmtId="0" fontId="4" fillId="0" borderId="0" xfId="0" applyFont="1" applyAlignment="1">
      <alignment horizontal="left" vertical="top"/>
    </xf>
    <xf numFmtId="0" fontId="9" fillId="0" borderId="0" xfId="0" applyFont="1"/>
    <xf numFmtId="17" fontId="4" fillId="0" borderId="0" xfId="0" applyNumberFormat="1" applyFont="1" applyAlignment="1">
      <alignment horizontal="left"/>
    </xf>
    <xf numFmtId="0" fontId="5" fillId="0" borderId="0" xfId="0" applyFont="1"/>
    <xf numFmtId="17" fontId="4" fillId="0" borderId="0" xfId="0" applyNumberFormat="1" applyFont="1"/>
    <xf numFmtId="164" fontId="4" fillId="0" borderId="0" xfId="1" applyNumberFormat="1" applyFont="1" applyFill="1" applyBorder="1"/>
    <xf numFmtId="164" fontId="4" fillId="0" borderId="0" xfId="1" applyNumberFormat="1" applyFont="1" applyFill="1" applyBorder="1" applyAlignment="1">
      <alignment horizontal="center"/>
    </xf>
    <xf numFmtId="17" fontId="4" fillId="0" borderId="13" xfId="0" applyNumberFormat="1" applyFont="1" applyBorder="1" applyAlignment="1">
      <alignment horizontal="left"/>
    </xf>
    <xf numFmtId="0" fontId="5" fillId="0" borderId="10" xfId="0" applyFont="1" applyBorder="1"/>
    <xf numFmtId="49" fontId="15" fillId="0" borderId="0" xfId="0" applyNumberFormat="1" applyFont="1" applyAlignment="1">
      <alignment vertical="center"/>
    </xf>
    <xf numFmtId="49" fontId="15" fillId="0" borderId="0" xfId="1" applyNumberFormat="1" applyFont="1" applyFill="1" applyBorder="1" applyAlignment="1">
      <alignment vertical="center"/>
    </xf>
    <xf numFmtId="0" fontId="4" fillId="0" borderId="0" xfId="0" applyFont="1" applyAlignment="1">
      <alignment vertical="top" wrapText="1"/>
    </xf>
    <xf numFmtId="0" fontId="0" fillId="0" borderId="30" xfId="0" applyBorder="1"/>
    <xf numFmtId="0" fontId="0" fillId="0" borderId="31" xfId="0" applyBorder="1"/>
    <xf numFmtId="0" fontId="14" fillId="0" borderId="0" xfId="0" applyFont="1" applyAlignment="1">
      <alignment horizontal="left"/>
    </xf>
    <xf numFmtId="0" fontId="16" fillId="0" borderId="0" xfId="0" applyFont="1" applyAlignment="1">
      <alignment horizontal="center" vertical="center"/>
    </xf>
    <xf numFmtId="0" fontId="4" fillId="0" borderId="8" xfId="0" applyFont="1" applyBorder="1" applyAlignment="1">
      <alignment horizontal="left" vertical="center" wrapText="1"/>
    </xf>
    <xf numFmtId="0" fontId="4" fillId="0" borderId="32" xfId="0" applyFont="1" applyBorder="1" applyAlignment="1">
      <alignment horizontal="left" vertical="center" wrapText="1"/>
    </xf>
    <xf numFmtId="0" fontId="4" fillId="0" borderId="8" xfId="0" applyFont="1" applyBorder="1" applyAlignment="1">
      <alignment horizontal="left" vertical="center"/>
    </xf>
    <xf numFmtId="0" fontId="4" fillId="0" borderId="33" xfId="0" applyFont="1" applyBorder="1" applyAlignment="1">
      <alignment horizontal="left" vertical="center"/>
    </xf>
    <xf numFmtId="0" fontId="4" fillId="0" borderId="32" xfId="0" applyFont="1" applyBorder="1" applyAlignment="1">
      <alignment horizontal="lef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33" xfId="0" applyFont="1" applyBorder="1" applyAlignment="1">
      <alignment horizontal="center" vertical="center"/>
    </xf>
    <xf numFmtId="0" fontId="4" fillId="0" borderId="33" xfId="0" applyFont="1" applyBorder="1"/>
    <xf numFmtId="0" fontId="4" fillId="0" borderId="32" xfId="0" applyFont="1" applyBorder="1" applyAlignment="1">
      <alignment horizontal="center" vertical="center"/>
    </xf>
    <xf numFmtId="0" fontId="4" fillId="0" borderId="4" xfId="0" applyFont="1" applyBorder="1" applyAlignment="1">
      <alignment vertical="top"/>
    </xf>
    <xf numFmtId="0" fontId="4" fillId="0" borderId="1" xfId="0" applyFont="1" applyBorder="1" applyAlignment="1">
      <alignment vertical="top" wrapText="1"/>
    </xf>
    <xf numFmtId="0" fontId="4" fillId="0" borderId="33" xfId="0" applyFont="1" applyBorder="1" applyAlignment="1">
      <alignment horizontal="left" vertical="center" wrapText="1"/>
    </xf>
    <xf numFmtId="0" fontId="4" fillId="0" borderId="0" xfId="0" applyFont="1" applyAlignment="1">
      <alignment horizontal="center" vertical="top"/>
    </xf>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16" fillId="0" borderId="1" xfId="0" applyFont="1" applyBorder="1" applyAlignment="1">
      <alignment horizontal="center" vertical="center" wrapText="1"/>
    </xf>
    <xf numFmtId="0" fontId="4" fillId="0" borderId="0" xfId="0" applyFont="1" applyAlignment="1">
      <alignment vertical="center"/>
    </xf>
    <xf numFmtId="0" fontId="2" fillId="0" borderId="18" xfId="0" applyFont="1" applyBorder="1"/>
    <xf numFmtId="0" fontId="18" fillId="0" borderId="14" xfId="0" applyFont="1" applyBorder="1"/>
    <xf numFmtId="0" fontId="17" fillId="0" borderId="18" xfId="0" applyFont="1" applyBorder="1" applyAlignment="1">
      <alignment horizontal="right"/>
    </xf>
    <xf numFmtId="0" fontId="4" fillId="0" borderId="0" xfId="0" applyFont="1" applyProtection="1">
      <protection locked="0"/>
    </xf>
    <xf numFmtId="0" fontId="4" fillId="0" borderId="9" xfId="0" applyFont="1" applyBorder="1"/>
    <xf numFmtId="17" fontId="4" fillId="0" borderId="11" xfId="0" applyNumberFormat="1" applyFont="1" applyBorder="1" applyAlignment="1">
      <alignment horizontal="left"/>
    </xf>
    <xf numFmtId="14" fontId="0" fillId="0" borderId="14" xfId="0" applyNumberFormat="1" applyBorder="1"/>
    <xf numFmtId="0" fontId="6" fillId="0" borderId="0" xfId="2" applyFill="1"/>
    <xf numFmtId="0" fontId="19" fillId="5" borderId="34" xfId="0" applyFont="1" applyFill="1" applyBorder="1"/>
    <xf numFmtId="0" fontId="19" fillId="6" borderId="35" xfId="0" applyFont="1" applyFill="1" applyBorder="1"/>
    <xf numFmtId="0" fontId="23" fillId="6" borderId="35" xfId="0" applyFont="1" applyFill="1" applyBorder="1"/>
    <xf numFmtId="0" fontId="19" fillId="6" borderId="36" xfId="0" applyFont="1" applyFill="1" applyBorder="1"/>
    <xf numFmtId="0" fontId="20" fillId="6" borderId="37" xfId="0" applyFont="1" applyFill="1" applyBorder="1"/>
    <xf numFmtId="0" fontId="20" fillId="6" borderId="0" xfId="0" applyFont="1" applyFill="1"/>
    <xf numFmtId="0" fontId="20" fillId="6" borderId="38" xfId="0" applyFont="1" applyFill="1" applyBorder="1"/>
    <xf numFmtId="0" fontId="20" fillId="0" borderId="0" xfId="0" applyFont="1"/>
    <xf numFmtId="0" fontId="22" fillId="6" borderId="0" xfId="0" applyFont="1" applyFill="1"/>
    <xf numFmtId="0" fontId="22" fillId="6" borderId="38" xfId="0" applyFont="1" applyFill="1" applyBorder="1"/>
    <xf numFmtId="0" fontId="28" fillId="8" borderId="0" xfId="0" applyFont="1" applyFill="1"/>
    <xf numFmtId="0" fontId="28" fillId="9" borderId="0" xfId="0" applyFont="1" applyFill="1"/>
    <xf numFmtId="0" fontId="28" fillId="10" borderId="0" xfId="0" applyFont="1" applyFill="1"/>
    <xf numFmtId="0" fontId="20" fillId="6" borderId="39" xfId="0" applyFont="1" applyFill="1" applyBorder="1"/>
    <xf numFmtId="0" fontId="21" fillId="6" borderId="0" xfId="0" applyFont="1" applyFill="1" applyAlignment="1">
      <alignment horizontal="left" indent="2"/>
    </xf>
    <xf numFmtId="0" fontId="30" fillId="11" borderId="0" xfId="0" applyFont="1" applyFill="1" applyAlignment="1">
      <alignment horizontal="center"/>
    </xf>
    <xf numFmtId="0" fontId="31" fillId="11" borderId="0" xfId="0" applyFont="1" applyFill="1"/>
    <xf numFmtId="0" fontId="23" fillId="11" borderId="0" xfId="0" applyFont="1" applyFill="1" applyAlignment="1">
      <alignment vertical="center"/>
    </xf>
    <xf numFmtId="0" fontId="20" fillId="11" borderId="0" xfId="0" applyFont="1" applyFill="1"/>
    <xf numFmtId="0" fontId="19" fillId="11" borderId="0" xfId="0" applyFont="1" applyFill="1" applyAlignment="1">
      <alignment vertical="center"/>
    </xf>
    <xf numFmtId="0" fontId="22" fillId="11" borderId="0" xfId="0" applyFont="1" applyFill="1" applyAlignment="1">
      <alignment vertical="center"/>
    </xf>
    <xf numFmtId="0" fontId="22" fillId="11" borderId="0" xfId="0" applyFont="1" applyFill="1"/>
    <xf numFmtId="0" fontId="26" fillId="11" borderId="0" xfId="0" applyFont="1" applyFill="1" applyAlignment="1">
      <alignment vertical="center"/>
    </xf>
    <xf numFmtId="0" fontId="27" fillId="11" borderId="0" xfId="0" applyFont="1" applyFill="1"/>
    <xf numFmtId="0" fontId="23" fillId="11" borderId="0" xfId="0" applyFont="1" applyFill="1"/>
    <xf numFmtId="0" fontId="29" fillId="11" borderId="0" xfId="0" applyFont="1" applyFill="1" applyAlignment="1">
      <alignment vertical="center"/>
    </xf>
    <xf numFmtId="0" fontId="29" fillId="11" borderId="0" xfId="0" applyFont="1" applyFill="1"/>
    <xf numFmtId="49" fontId="15" fillId="12" borderId="1" xfId="0" applyNumberFormat="1" applyFont="1" applyFill="1" applyBorder="1" applyAlignment="1">
      <alignment vertical="center"/>
    </xf>
    <xf numFmtId="49" fontId="15" fillId="13" borderId="1" xfId="1" applyNumberFormat="1" applyFont="1" applyFill="1" applyBorder="1" applyAlignment="1">
      <alignment vertical="center"/>
    </xf>
    <xf numFmtId="49" fontId="15" fillId="4" borderId="1" xfId="1" applyNumberFormat="1" applyFont="1" applyFill="1" applyBorder="1" applyAlignment="1">
      <alignment vertical="center"/>
    </xf>
    <xf numFmtId="0" fontId="4" fillId="12" borderId="1" xfId="0" applyFont="1" applyFill="1" applyBorder="1" applyAlignment="1">
      <alignment horizontal="left" vertical="center" wrapText="1"/>
    </xf>
    <xf numFmtId="17" fontId="4" fillId="12" borderId="1" xfId="0" applyNumberFormat="1" applyFont="1" applyFill="1" applyBorder="1" applyAlignment="1">
      <alignment horizontal="center" vertical="center"/>
    </xf>
    <xf numFmtId="0" fontId="4" fillId="12" borderId="4" xfId="0" applyFont="1" applyFill="1" applyBorder="1" applyAlignment="1">
      <alignment vertical="center"/>
    </xf>
    <xf numFmtId="164" fontId="4" fillId="12" borderId="1" xfId="1" applyNumberFormat="1" applyFont="1" applyFill="1" applyBorder="1" applyAlignment="1">
      <alignment horizontal="right"/>
    </xf>
    <xf numFmtId="164" fontId="4" fillId="12" borderId="1" xfId="1" applyNumberFormat="1" applyFont="1" applyFill="1" applyBorder="1" applyAlignment="1">
      <alignment horizontal="center"/>
    </xf>
    <xf numFmtId="164" fontId="5" fillId="11" borderId="1" xfId="1" applyNumberFormat="1" applyFont="1" applyFill="1" applyBorder="1"/>
    <xf numFmtId="164" fontId="4" fillId="11" borderId="1" xfId="1" applyNumberFormat="1" applyFont="1" applyFill="1" applyBorder="1"/>
    <xf numFmtId="164" fontId="4" fillId="11" borderId="1" xfId="1" applyNumberFormat="1" applyFont="1" applyFill="1" applyBorder="1" applyAlignment="1">
      <alignment horizontal="center"/>
    </xf>
    <xf numFmtId="164" fontId="4" fillId="11" borderId="1" xfId="1" applyNumberFormat="1" applyFont="1" applyFill="1" applyBorder="1" applyProtection="1"/>
    <xf numFmtId="0" fontId="4" fillId="14" borderId="1" xfId="0" applyFont="1" applyFill="1" applyBorder="1" applyAlignment="1">
      <alignment horizontal="left" vertical="center"/>
    </xf>
    <xf numFmtId="0" fontId="4" fillId="14" borderId="4" xfId="0" applyFont="1" applyFill="1" applyBorder="1" applyAlignment="1">
      <alignment horizontal="left" vertical="center"/>
    </xf>
    <xf numFmtId="0" fontId="4" fillId="14" borderId="1" xfId="0" applyFont="1" applyFill="1" applyBorder="1" applyAlignment="1">
      <alignment vertical="center"/>
    </xf>
    <xf numFmtId="164" fontId="4" fillId="4" borderId="1" xfId="1" applyNumberFormat="1" applyFont="1" applyFill="1" applyBorder="1" applyAlignment="1" applyProtection="1">
      <alignment horizontal="center"/>
    </xf>
    <xf numFmtId="164" fontId="4" fillId="4" borderId="1" xfId="1" applyNumberFormat="1" applyFont="1" applyFill="1" applyBorder="1" applyProtection="1"/>
    <xf numFmtId="164" fontId="5" fillId="4" borderId="1" xfId="1" applyNumberFormat="1" applyFont="1" applyFill="1" applyBorder="1" applyProtection="1"/>
    <xf numFmtId="168" fontId="4" fillId="4" borderId="1" xfId="1" applyNumberFormat="1" applyFont="1" applyFill="1" applyBorder="1" applyProtection="1"/>
    <xf numFmtId="43" fontId="4" fillId="4" borderId="1" xfId="1" applyFont="1" applyFill="1" applyBorder="1" applyProtection="1"/>
    <xf numFmtId="43" fontId="5" fillId="4" borderId="1" xfId="1" applyFont="1" applyFill="1" applyBorder="1" applyProtection="1"/>
    <xf numFmtId="0" fontId="0" fillId="15" borderId="0" xfId="0" applyFill="1"/>
    <xf numFmtId="0" fontId="21" fillId="6" borderId="0" xfId="0" applyFont="1" applyFill="1" applyAlignment="1">
      <alignment horizontal="left" vertical="center" indent="2"/>
    </xf>
    <xf numFmtId="0" fontId="22" fillId="7" borderId="0" xfId="0" applyFont="1" applyFill="1" applyAlignment="1">
      <alignment horizontal="left" vertical="center" wrapText="1" indent="2"/>
    </xf>
    <xf numFmtId="0" fontId="22" fillId="7" borderId="38" xfId="0" applyFont="1" applyFill="1" applyBorder="1" applyAlignment="1">
      <alignment horizontal="left" vertical="center" wrapText="1" indent="2"/>
    </xf>
    <xf numFmtId="0" fontId="32" fillId="5" borderId="0" xfId="0" applyFont="1" applyFill="1" applyAlignment="1">
      <alignment horizontal="left" vertical="center"/>
    </xf>
    <xf numFmtId="0" fontId="20" fillId="5" borderId="0" xfId="0" applyFont="1" applyFill="1" applyAlignment="1">
      <alignment horizontal="left" vertical="center"/>
    </xf>
    <xf numFmtId="0" fontId="4" fillId="0" borderId="0" xfId="0" applyFont="1" applyAlignment="1">
      <alignment horizontal="left" vertical="top" wrapText="1"/>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8" fillId="14" borderId="3" xfId="0" applyFont="1" applyFill="1" applyBorder="1" applyAlignment="1">
      <alignment horizontal="center" vertical="center"/>
    </xf>
    <xf numFmtId="0" fontId="8" fillId="14" borderId="4" xfId="0" applyFont="1" applyFill="1" applyBorder="1" applyAlignment="1">
      <alignment horizontal="center" vertical="center"/>
    </xf>
    <xf numFmtId="0" fontId="20" fillId="6" borderId="0" xfId="0" applyFont="1" applyFill="1" applyAlignment="1"/>
    <xf numFmtId="0" fontId="20" fillId="6" borderId="38" xfId="0" applyFont="1" applyFill="1" applyBorder="1" applyAlignment="1"/>
  </cellXfs>
  <cellStyles count="3">
    <cellStyle name="Comma" xfId="1" builtinId="3"/>
    <cellStyle name="Hyperlink" xfId="2" builtinId="8"/>
    <cellStyle name="Normal" xfId="0" builtinId="0"/>
  </cellStyles>
  <dxfs count="3">
    <dxf>
      <font>
        <color auto="1"/>
      </font>
      <fill>
        <patternFill>
          <bgColor rgb="FFFF5050"/>
        </patternFill>
      </fill>
    </dxf>
    <dxf>
      <font>
        <b/>
        <i val="0"/>
        <color rgb="FF265D5C"/>
      </font>
    </dxf>
    <dxf>
      <fill>
        <patternFill patternType="solid">
          <fgColor theme="0"/>
          <bgColor theme="0"/>
        </patternFill>
      </fill>
      <border>
        <left style="thin">
          <color theme="1" tint="-0.499984740745262"/>
        </left>
        <right style="thin">
          <color theme="1" tint="-0.499984740745262"/>
        </right>
        <top style="thin">
          <color theme="1" tint="-0.499984740745262"/>
        </top>
        <bottom style="thin">
          <color theme="1" tint="-0.499984740745262"/>
        </bottom>
      </border>
    </dxf>
  </dxfs>
  <tableStyles count="1" defaultTableStyle="TableStyleMedium2" defaultPivotStyle="PivotStyleLight16">
    <tableStyle name="Timeline Style 3" pivot="0" table="0" count="9" xr9:uid="{3135FECB-768C-4DBC-AB13-B730620A0E75}">
      <tableStyleElement type="wholeTable" dxfId="2"/>
      <tableStyleElement type="headerRow" dxfId="1"/>
    </tableStyle>
  </tableStyles>
  <colors>
    <mruColors>
      <color rgb="FF41B496"/>
      <color rgb="FFB8CAD4"/>
      <color rgb="FF164057"/>
      <color rgb="FF317575"/>
      <color rgb="FF388684"/>
      <color rgb="FF3E9694"/>
      <color rgb="FFAAC1C2"/>
      <color rgb="FFFFC7CE"/>
      <color rgb="FFFF9797"/>
      <color rgb="FFFF5050"/>
    </mruColors>
  </colors>
  <extLst>
    <ext xmlns:x14="http://schemas.microsoft.com/office/spreadsheetml/2009/9/main" uri="{EB79DEF2-80B8-43e5-95BD-54CBDDF9020C}">
      <x14:slicerStyles defaultSlicerStyle="SlicerStyleLight1"/>
    </ext>
    <ext xmlns:x15="http://schemas.microsoft.com/office/spreadsheetml/2010/11/main" uri="{A0A4C193-F2C1-4fcb-8827-314CF55A85BB}">
      <x15:dxfs count="7">
        <dxf>
          <fill>
            <patternFill>
              <bgColor theme="0"/>
            </patternFill>
          </fill>
        </dxf>
        <dxf>
          <fill>
            <patternFill patternType="solid">
              <fgColor theme="0" tint="-0.14999847407452621"/>
              <bgColor theme="0" tint="-0.14999847407452621"/>
            </patternFill>
          </fill>
        </dxf>
        <dxf>
          <fill>
            <patternFill patternType="solid">
              <fgColor theme="0"/>
              <bgColor rgb="FF317575"/>
            </patternFill>
          </fill>
        </dxf>
        <dxf>
          <font>
            <sz val="9"/>
            <color theme="1" tint="0.499984740745262"/>
          </font>
        </dxf>
        <dxf>
          <font>
            <sz val="9"/>
            <color theme="0"/>
            <name val="Calibri"/>
            <family val="2"/>
            <scheme val="minor"/>
          </font>
        </dxf>
        <dxf>
          <font>
            <sz val="9"/>
            <color auto="1"/>
            <name val="Calibri"/>
            <family val="2"/>
            <scheme val="minor"/>
          </font>
        </dxf>
        <dxf>
          <font>
            <sz val="10"/>
            <color auto="1"/>
            <name val="Calibri"/>
            <family val="2"/>
            <scheme val="minor"/>
          </font>
        </dxf>
      </x15:dxfs>
    </ext>
    <ext xmlns:x15="http://schemas.microsoft.com/office/spreadsheetml/2010/11/main" uri="{9260A510-F301-46a8-8635-F512D64BE5F5}">
      <x15:timelineStyles defaultTimelineStyle="TimeSlicerStyleLight1">
        <x15:timelineStyle name="Timeline Style 3">
          <x15:timelineStyleElements>
            <x15:timelineStyleElement type="selectionLabel" dxfId="6"/>
            <x15:timelineStyleElement type="timeLevel" dxfId="5"/>
            <x15:timelineStyleElement type="periodLabel1" dxfId="4"/>
            <x15:timelineStyleElement type="periodLabel2" dxfId="3"/>
            <x15:timelineStyleElement type="selectedTimeBlock" dxfId="2"/>
            <x15:timelineStyleElement type="unselectedTimeBlock" dxfId="1"/>
            <x15:timelineStyleElement type="selectedTimeBlockSpace" dxfId="0"/>
          </x15:timelineStyleElements>
        </x15:timelineStyle>
      </x15:timelineStyles>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ysClr val="windowText" lastClr="000000"/>
                </a:solidFill>
                <a:latin typeface="Franklin Gothic Book" panose="020B0503020102020204" pitchFamily="34" charset="0"/>
                <a:ea typeface="+mn-ea"/>
                <a:cs typeface="+mn-cs"/>
              </a:defRPr>
            </a:pPr>
            <a:r>
              <a:rPr lang="en-NZ" sz="1800"/>
              <a:t>Total Energy Consumption per Month</a:t>
            </a:r>
          </a:p>
        </c:rich>
      </c:tx>
      <c:layout>
        <c:manualLayout>
          <c:xMode val="edge"/>
          <c:yMode val="edge"/>
          <c:x val="1.0878072059174421E-2"/>
          <c:y val="2.2030280207008781E-2"/>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ysClr val="windowText" lastClr="000000"/>
              </a:solidFill>
              <a:latin typeface="Franklin Gothic Book" panose="020B0503020102020204" pitchFamily="34" charset="0"/>
              <a:ea typeface="+mn-ea"/>
              <a:cs typeface="+mn-cs"/>
            </a:defRPr>
          </a:pPr>
          <a:endParaRPr lang="en-US"/>
        </a:p>
      </c:txPr>
    </c:title>
    <c:autoTitleDeleted val="0"/>
    <c:plotArea>
      <c:layout>
        <c:manualLayout>
          <c:layoutTarget val="inner"/>
          <c:xMode val="edge"/>
          <c:yMode val="edge"/>
          <c:x val="0.13872537777438015"/>
          <c:y val="0.21422885275553571"/>
          <c:w val="0.70065399417097407"/>
          <c:h val="0.65389157716125224"/>
        </c:manualLayout>
      </c:layout>
      <c:barChart>
        <c:barDir val="col"/>
        <c:grouping val="clustered"/>
        <c:varyColors val="0"/>
        <c:ser>
          <c:idx val="0"/>
          <c:order val="0"/>
          <c:spPr>
            <a:solidFill>
              <a:schemeClr val="accent1"/>
            </a:solidFill>
            <a:ln>
              <a:noFill/>
            </a:ln>
            <a:effectLst/>
          </c:spPr>
          <c:invertIfNegative val="0"/>
          <c:cat>
            <c:numRef>
              <c:f>'Energy Calculator'!$B$21:$B$32</c:f>
              <c:numCache>
                <c:formatCode>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cat>
          <c:val>
            <c:numRef>
              <c:f>'Energy Calculator'!$I$21:$I$32</c:f>
              <c:numCache>
                <c:formatCode>_-* #,##0_-;\-* #,##0_-;_-* "-"??_-;_-@_-</c:formatCode>
                <c:ptCount val="12"/>
                <c:pt idx="0">
                  <c:v>70555.555555555562</c:v>
                </c:pt>
                <c:pt idx="1">
                  <c:v>70555.555555555562</c:v>
                </c:pt>
                <c:pt idx="2">
                  <c:v>93333.333333333328</c:v>
                </c:pt>
                <c:pt idx="3">
                  <c:v>93333.333333333328</c:v>
                </c:pt>
                <c:pt idx="4">
                  <c:v>121111.11111111111</c:v>
                </c:pt>
                <c:pt idx="5">
                  <c:v>148888.88888888888</c:v>
                </c:pt>
                <c:pt idx="6">
                  <c:v>148888.88888888888</c:v>
                </c:pt>
                <c:pt idx="7">
                  <c:v>148888.88888888888</c:v>
                </c:pt>
                <c:pt idx="8">
                  <c:v>121111.11111111111</c:v>
                </c:pt>
                <c:pt idx="9">
                  <c:v>93333.333333333328</c:v>
                </c:pt>
                <c:pt idx="10">
                  <c:v>70555.555555555562</c:v>
                </c:pt>
                <c:pt idx="11">
                  <c:v>42777.777777777781</c:v>
                </c:pt>
              </c:numCache>
            </c:numRef>
          </c:val>
          <c:extLst>
            <c:ext xmlns:c16="http://schemas.microsoft.com/office/drawing/2014/chart" uri="{C3380CC4-5D6E-409C-BE32-E72D297353CC}">
              <c16:uniqueId val="{00000000-5AD7-44E8-8E5F-3B2D7C29D578}"/>
            </c:ext>
          </c:extLst>
        </c:ser>
        <c:dLbls>
          <c:showLegendKey val="0"/>
          <c:showVal val="0"/>
          <c:showCatName val="0"/>
          <c:showSerName val="0"/>
          <c:showPercent val="0"/>
          <c:showBubbleSize val="0"/>
        </c:dLbls>
        <c:gapWidth val="100"/>
        <c:axId val="538320128"/>
        <c:axId val="993868464"/>
      </c:barChart>
      <c:lineChart>
        <c:grouping val="standard"/>
        <c:varyColors val="0"/>
        <c:ser>
          <c:idx val="1"/>
          <c:order val="1"/>
          <c:tx>
            <c:v>OAT</c:v>
          </c:tx>
          <c:spPr>
            <a:ln w="28575" cap="rnd">
              <a:solidFill>
                <a:srgbClr val="41B496"/>
              </a:solidFill>
              <a:round/>
            </a:ln>
            <a:effectLst/>
          </c:spPr>
          <c:marker>
            <c:symbol val="none"/>
          </c:marker>
          <c:val>
            <c:numRef>
              <c:f>'Background Calcs'!$C$23:$C$34</c:f>
              <c:numCache>
                <c:formatCode>0.0</c:formatCode>
                <c:ptCount val="12"/>
                <c:pt idx="0">
                  <c:v>21.279999999999998</c:v>
                </c:pt>
                <c:pt idx="1">
                  <c:v>21.36</c:v>
                </c:pt>
                <c:pt idx="2">
                  <c:v>19.62</c:v>
                </c:pt>
                <c:pt idx="3">
                  <c:v>17.32</c:v>
                </c:pt>
                <c:pt idx="4">
                  <c:v>15.16</c:v>
                </c:pt>
                <c:pt idx="5">
                  <c:v>13.319999999999999</c:v>
                </c:pt>
                <c:pt idx="6">
                  <c:v>12.56</c:v>
                </c:pt>
                <c:pt idx="7">
                  <c:v>12.84</c:v>
                </c:pt>
                <c:pt idx="8">
                  <c:v>13.66</c:v>
                </c:pt>
                <c:pt idx="9">
                  <c:v>15.420000000000002</c:v>
                </c:pt>
                <c:pt idx="10">
                  <c:v>17.940000000000005</c:v>
                </c:pt>
                <c:pt idx="11">
                  <c:v>19.740000000000002</c:v>
                </c:pt>
              </c:numCache>
            </c:numRef>
          </c:val>
          <c:smooth val="0"/>
          <c:extLst>
            <c:ext xmlns:c16="http://schemas.microsoft.com/office/drawing/2014/chart" uri="{C3380CC4-5D6E-409C-BE32-E72D297353CC}">
              <c16:uniqueId val="{00000000-4C33-4A34-9245-237077F7F84F}"/>
            </c:ext>
          </c:extLst>
        </c:ser>
        <c:dLbls>
          <c:showLegendKey val="0"/>
          <c:showVal val="0"/>
          <c:showCatName val="0"/>
          <c:showSerName val="0"/>
          <c:showPercent val="0"/>
          <c:showBubbleSize val="0"/>
        </c:dLbls>
        <c:marker val="1"/>
        <c:smooth val="0"/>
        <c:axId val="1983674800"/>
        <c:axId val="1979211824"/>
      </c:lineChart>
      <c:dateAx>
        <c:axId val="53832012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993868464"/>
        <c:crosses val="autoZero"/>
        <c:auto val="1"/>
        <c:lblOffset val="100"/>
        <c:baseTimeUnit val="months"/>
      </c:dateAx>
      <c:valAx>
        <c:axId val="993868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r>
                  <a:rPr lang="en-NZ" sz="1200" b="1"/>
                  <a:t>Energy Consumption (kWh)</a:t>
                </a:r>
              </a:p>
            </c:rich>
          </c:tx>
          <c:layout>
            <c:manualLayout>
              <c:xMode val="edge"/>
              <c:yMode val="edge"/>
              <c:x val="2.2171554255463615E-2"/>
              <c:y val="0.2949507532413149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538320128"/>
        <c:crosses val="autoZero"/>
        <c:crossBetween val="between"/>
      </c:valAx>
      <c:valAx>
        <c:axId val="1979211824"/>
        <c:scaling>
          <c:orientation val="minMax"/>
        </c:scaling>
        <c:delete val="0"/>
        <c:axPos val="r"/>
        <c:title>
          <c:tx>
            <c:rich>
              <a:bodyPr rot="5400000" spcFirstLastPara="1" vertOverflow="ellipsis"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r>
                  <a:rPr lang="en-NZ" sz="1200" b="1"/>
                  <a:t>Average Outside</a:t>
                </a:r>
              </a:p>
              <a:p>
                <a:pPr>
                  <a:defRPr sz="1200" b="1"/>
                </a:pPr>
                <a:r>
                  <a:rPr lang="en-NZ" sz="1200" b="1"/>
                  <a:t> Air Temperature (°C)</a:t>
                </a:r>
              </a:p>
            </c:rich>
          </c:tx>
          <c:layout>
            <c:manualLayout>
              <c:xMode val="edge"/>
              <c:yMode val="edge"/>
              <c:x val="0.89158486707566464"/>
              <c:y val="0.34813856121530584"/>
            </c:manualLayout>
          </c:layout>
          <c:overlay val="0"/>
          <c:spPr>
            <a:noFill/>
            <a:ln>
              <a:noFill/>
            </a:ln>
            <a:effectLst/>
          </c:spPr>
          <c:txPr>
            <a:bodyPr rot="5400000" spcFirstLastPara="1" vertOverflow="ellipsis"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1983674800"/>
        <c:crosses val="max"/>
        <c:crossBetween val="between"/>
      </c:valAx>
      <c:catAx>
        <c:axId val="1983674800"/>
        <c:scaling>
          <c:orientation val="minMax"/>
        </c:scaling>
        <c:delete val="1"/>
        <c:axPos val="b"/>
        <c:majorTickMark val="out"/>
        <c:minorTickMark val="none"/>
        <c:tickLblPos val="nextTo"/>
        <c:crossAx val="1979211824"/>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Franklin Gothic Book" panose="020B05030201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ysClr val="windowText" lastClr="000000"/>
                </a:solidFill>
                <a:latin typeface="Franklin Gothic Book" panose="020B0503020102020204" pitchFamily="34" charset="0"/>
                <a:ea typeface="+mn-ea"/>
                <a:cs typeface="+mn-cs"/>
              </a:defRPr>
            </a:pPr>
            <a:r>
              <a:rPr lang="en-NZ" sz="1800" b="0" i="0" baseline="0">
                <a:solidFill>
                  <a:sysClr val="windowText" lastClr="000000"/>
                </a:solidFill>
                <a:effectLst/>
                <a:latin typeface="Franklin Gothic Book" panose="020B0503020102020204" pitchFamily="34" charset="0"/>
              </a:rPr>
              <a:t>Emission Breakdown by GHG Contributor</a:t>
            </a:r>
            <a:endParaRPr lang="en-NZ" b="0">
              <a:solidFill>
                <a:sysClr val="windowText" lastClr="000000"/>
              </a:solidFill>
              <a:effectLst/>
              <a:latin typeface="Franklin Gothic Book" panose="020B0503020102020204" pitchFamily="34" charset="0"/>
            </a:endParaRPr>
          </a:p>
        </c:rich>
      </c:tx>
      <c:layout>
        <c:manualLayout>
          <c:xMode val="edge"/>
          <c:yMode val="edge"/>
          <c:x val="1.1462296041009306E-2"/>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ysClr val="windowText" lastClr="000000"/>
              </a:solidFill>
              <a:latin typeface="Franklin Gothic Book" panose="020B0503020102020204" pitchFamily="34" charset="0"/>
              <a:ea typeface="+mn-ea"/>
              <a:cs typeface="+mn-cs"/>
            </a:defRPr>
          </a:pPr>
          <a:endParaRPr lang="en-US"/>
        </a:p>
      </c:txPr>
    </c:title>
    <c:autoTitleDeleted val="0"/>
    <c:plotArea>
      <c:layout>
        <c:manualLayout>
          <c:layoutTarget val="inner"/>
          <c:xMode val="edge"/>
          <c:yMode val="edge"/>
          <c:x val="0.272406435246004"/>
          <c:y val="0.1389455943934958"/>
          <c:w val="0.41030903359782156"/>
          <c:h val="0.6990902345506182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4B0-447E-A19D-2AF7E5504D7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4B0-447E-A19D-2AF7E5504D7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4B0-447E-A19D-2AF7E5504D7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4B0-447E-A19D-2AF7E5504D7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4B0-447E-A19D-2AF7E5504D7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4B0-447E-A19D-2AF7E5504D7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ln>
                      <a:noFill/>
                    </a:ln>
                    <a:solidFill>
                      <a:sysClr val="windowText" lastClr="000000"/>
                    </a:solidFill>
                    <a:latin typeface="Franklin Gothic Book" panose="020B0503020102020204" pitchFamily="34" charset="0"/>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bg1"/>
                  </a:solidFill>
                  <a:round/>
                </a:ln>
                <a:effectLst/>
              </c:spPr>
            </c:leaderLines>
            <c:extLst>
              <c:ext xmlns:c15="http://schemas.microsoft.com/office/drawing/2012/chart" uri="{CE6537A1-D6FC-4f65-9D91-7224C49458BB}"/>
            </c:extLst>
          </c:dLbls>
          <c:cat>
            <c:strRef>
              <c:f>'Background Calcs'!$C$4:$H$4</c:f>
              <c:strCache>
                <c:ptCount val="2"/>
                <c:pt idx="0">
                  <c:v>Electricity</c:v>
                </c:pt>
                <c:pt idx="1">
                  <c:v>Natural Gas</c:v>
                </c:pt>
              </c:strCache>
            </c:strRef>
          </c:cat>
          <c:val>
            <c:numRef>
              <c:f>'Background Calcs'!$C$19:$H$19</c:f>
              <c:numCache>
                <c:formatCode>#,##0</c:formatCode>
                <c:ptCount val="6"/>
                <c:pt idx="0">
                  <c:v>11.746000000000002</c:v>
                </c:pt>
                <c:pt idx="1">
                  <c:v>224.25</c:v>
                </c:pt>
                <c:pt idx="2">
                  <c:v>0</c:v>
                </c:pt>
                <c:pt idx="3">
                  <c:v>0</c:v>
                </c:pt>
                <c:pt idx="4">
                  <c:v>0</c:v>
                </c:pt>
                <c:pt idx="5">
                  <c:v>0</c:v>
                </c:pt>
              </c:numCache>
            </c:numRef>
          </c:val>
          <c:extLst>
            <c:ext xmlns:c16="http://schemas.microsoft.com/office/drawing/2014/chart" uri="{C3380CC4-5D6E-409C-BE32-E72D297353CC}">
              <c16:uniqueId val="{0000000C-94B0-447E-A19D-2AF7E5504D7C}"/>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ysClr val="windowText" lastClr="000000"/>
                </a:solidFill>
                <a:latin typeface="Franklin Gothic Book" panose="020B0503020102020204" pitchFamily="34" charset="0"/>
                <a:ea typeface="+mn-ea"/>
                <a:cs typeface="+mn-cs"/>
              </a:defRPr>
            </a:pPr>
            <a:r>
              <a:rPr lang="en-NZ" sz="1800" b="0" i="0" baseline="0">
                <a:effectLst/>
                <a:latin typeface="Franklin Gothic Book" panose="020B0503020102020204" pitchFamily="34" charset="0"/>
              </a:rPr>
              <a:t>Total Carbon Emissions per Month </a:t>
            </a:r>
            <a:endParaRPr lang="en-NZ" b="0">
              <a:effectLst/>
              <a:latin typeface="Franklin Gothic Book" panose="020B0503020102020204" pitchFamily="34" charset="0"/>
            </a:endParaRPr>
          </a:p>
        </c:rich>
      </c:tx>
      <c:layout>
        <c:manualLayout>
          <c:xMode val="edge"/>
          <c:yMode val="edge"/>
          <c:x val="1.165109415755379E-2"/>
          <c:y val="1.9288731811447329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ysClr val="windowText" lastClr="000000"/>
              </a:solidFill>
              <a:latin typeface="Franklin Gothic Book" panose="020B0503020102020204" pitchFamily="34" charset="0"/>
              <a:ea typeface="+mn-ea"/>
              <a:cs typeface="+mn-cs"/>
            </a:defRPr>
          </a:pPr>
          <a:endParaRPr lang="en-US"/>
        </a:p>
      </c:txPr>
    </c:title>
    <c:autoTitleDeleted val="0"/>
    <c:plotArea>
      <c:layout>
        <c:manualLayout>
          <c:layoutTarget val="inner"/>
          <c:xMode val="edge"/>
          <c:yMode val="edge"/>
          <c:x val="0.13071334771776569"/>
          <c:y val="0.2177217501714343"/>
          <c:w val="0.70201654331637975"/>
          <c:h val="0.712918931890273"/>
        </c:manualLayout>
      </c:layout>
      <c:barChart>
        <c:barDir val="col"/>
        <c:grouping val="stacked"/>
        <c:varyColors val="0"/>
        <c:ser>
          <c:idx val="0"/>
          <c:order val="0"/>
          <c:tx>
            <c:strRef>
              <c:f>'Background Calcs'!$C$4</c:f>
              <c:strCache>
                <c:ptCount val="1"/>
                <c:pt idx="0">
                  <c:v>Electricity</c:v>
                </c:pt>
              </c:strCache>
            </c:strRef>
          </c:tx>
          <c:spPr>
            <a:solidFill>
              <a:schemeClr val="accent1"/>
            </a:solidFill>
            <a:ln>
              <a:noFill/>
            </a:ln>
            <a:effectLst/>
          </c:spPr>
          <c:invertIfNegative val="0"/>
          <c:cat>
            <c:numRef>
              <c:f>'Background Calcs'!$B$5:$B$16</c:f>
              <c:numCache>
                <c:formatCode>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cat>
          <c:val>
            <c:numRef>
              <c:f>'Background Calcs'!$C$5:$C$16</c:f>
              <c:numCache>
                <c:formatCode>#,##0.00</c:formatCode>
                <c:ptCount val="12"/>
                <c:pt idx="0">
                  <c:v>1.2585000000000002</c:v>
                </c:pt>
                <c:pt idx="1">
                  <c:v>1.2585000000000002</c:v>
                </c:pt>
                <c:pt idx="2">
                  <c:v>0.83900000000000008</c:v>
                </c:pt>
                <c:pt idx="3">
                  <c:v>0.83900000000000008</c:v>
                </c:pt>
                <c:pt idx="4">
                  <c:v>0.83900000000000008</c:v>
                </c:pt>
                <c:pt idx="5">
                  <c:v>0.83900000000000008</c:v>
                </c:pt>
                <c:pt idx="6">
                  <c:v>0.83900000000000008</c:v>
                </c:pt>
                <c:pt idx="7">
                  <c:v>0.83900000000000008</c:v>
                </c:pt>
                <c:pt idx="8">
                  <c:v>0.83900000000000008</c:v>
                </c:pt>
                <c:pt idx="9">
                  <c:v>0.83900000000000008</c:v>
                </c:pt>
                <c:pt idx="10">
                  <c:v>1.2585000000000002</c:v>
                </c:pt>
                <c:pt idx="11">
                  <c:v>1.2585000000000002</c:v>
                </c:pt>
              </c:numCache>
            </c:numRef>
          </c:val>
          <c:extLst>
            <c:ext xmlns:c16="http://schemas.microsoft.com/office/drawing/2014/chart" uri="{C3380CC4-5D6E-409C-BE32-E72D297353CC}">
              <c16:uniqueId val="{00000000-4F73-4094-8CEF-1DEB819D9F6B}"/>
            </c:ext>
          </c:extLst>
        </c:ser>
        <c:ser>
          <c:idx val="1"/>
          <c:order val="1"/>
          <c:tx>
            <c:strRef>
              <c:f>'Background Calcs'!$D$4</c:f>
              <c:strCache>
                <c:ptCount val="1"/>
                <c:pt idx="0">
                  <c:v>Natural Gas</c:v>
                </c:pt>
              </c:strCache>
            </c:strRef>
          </c:tx>
          <c:spPr>
            <a:solidFill>
              <a:schemeClr val="accent2"/>
            </a:solidFill>
            <a:ln>
              <a:noFill/>
            </a:ln>
            <a:effectLst/>
          </c:spPr>
          <c:invertIfNegative val="0"/>
          <c:cat>
            <c:numRef>
              <c:f>'Background Calcs'!$B$5:$B$16</c:f>
              <c:numCache>
                <c:formatCode>mmm\-yy</c:formatCode>
                <c:ptCount val="12"/>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numCache>
            </c:numRef>
          </c:cat>
          <c:val>
            <c:numRef>
              <c:f>'Background Calcs'!$D$5:$D$16</c:f>
              <c:numCache>
                <c:formatCode>#,##0.00</c:formatCode>
                <c:ptCount val="12"/>
                <c:pt idx="0">
                  <c:v>11.5</c:v>
                </c:pt>
                <c:pt idx="1">
                  <c:v>11.5</c:v>
                </c:pt>
                <c:pt idx="2">
                  <c:v>17.25</c:v>
                </c:pt>
                <c:pt idx="3">
                  <c:v>17.25</c:v>
                </c:pt>
                <c:pt idx="4">
                  <c:v>23</c:v>
                </c:pt>
                <c:pt idx="5">
                  <c:v>28.75</c:v>
                </c:pt>
                <c:pt idx="6">
                  <c:v>28.75</c:v>
                </c:pt>
                <c:pt idx="7">
                  <c:v>28.75</c:v>
                </c:pt>
                <c:pt idx="8">
                  <c:v>23</c:v>
                </c:pt>
                <c:pt idx="9">
                  <c:v>17.25</c:v>
                </c:pt>
                <c:pt idx="10">
                  <c:v>11.5</c:v>
                </c:pt>
                <c:pt idx="11">
                  <c:v>5.75</c:v>
                </c:pt>
              </c:numCache>
            </c:numRef>
          </c:val>
          <c:extLst>
            <c:ext xmlns:c16="http://schemas.microsoft.com/office/drawing/2014/chart" uri="{C3380CC4-5D6E-409C-BE32-E72D297353CC}">
              <c16:uniqueId val="{00000000-FE06-4AB5-AD22-AA54C7B001BB}"/>
            </c:ext>
          </c:extLst>
        </c:ser>
        <c:ser>
          <c:idx val="2"/>
          <c:order val="2"/>
          <c:tx>
            <c:strRef>
              <c:f>'Background Calcs'!$E$4</c:f>
              <c:strCache>
                <c:ptCount val="1"/>
              </c:strCache>
            </c:strRef>
          </c:tx>
          <c:spPr>
            <a:solidFill>
              <a:schemeClr val="accent3"/>
            </a:solidFill>
            <a:ln>
              <a:noFill/>
            </a:ln>
            <a:effectLst/>
          </c:spPr>
          <c:invertIfNegative val="0"/>
          <c:val>
            <c:numRef>
              <c:f>'Background Calcs'!$E$5:$E$16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FE06-4AB5-AD22-AA54C7B001BB}"/>
            </c:ext>
          </c:extLst>
        </c:ser>
        <c:ser>
          <c:idx val="3"/>
          <c:order val="3"/>
          <c:tx>
            <c:strRef>
              <c:f>'Background Calcs'!$F$4</c:f>
              <c:strCache>
                <c:ptCount val="1"/>
              </c:strCache>
            </c:strRef>
          </c:tx>
          <c:spPr>
            <a:solidFill>
              <a:schemeClr val="accent4"/>
            </a:solidFill>
            <a:ln>
              <a:noFill/>
            </a:ln>
            <a:effectLst/>
          </c:spPr>
          <c:invertIfNegative val="0"/>
          <c:val>
            <c:numRef>
              <c:f>'Background Calcs'!$F$5:$F$16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FE06-4AB5-AD22-AA54C7B001BB}"/>
            </c:ext>
          </c:extLst>
        </c:ser>
        <c:ser>
          <c:idx val="4"/>
          <c:order val="4"/>
          <c:tx>
            <c:strRef>
              <c:f>'Background Calcs'!$G$4</c:f>
              <c:strCache>
                <c:ptCount val="1"/>
              </c:strCache>
            </c:strRef>
          </c:tx>
          <c:spPr>
            <a:solidFill>
              <a:schemeClr val="accent5"/>
            </a:solidFill>
            <a:ln>
              <a:noFill/>
            </a:ln>
            <a:effectLst/>
          </c:spPr>
          <c:invertIfNegative val="0"/>
          <c:val>
            <c:numRef>
              <c:f>'Background Calcs'!$G$5:$G$16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FE06-4AB5-AD22-AA54C7B001BB}"/>
            </c:ext>
          </c:extLst>
        </c:ser>
        <c:ser>
          <c:idx val="5"/>
          <c:order val="5"/>
          <c:tx>
            <c:strRef>
              <c:f>'Background Calcs'!$H$4</c:f>
              <c:strCache>
                <c:ptCount val="1"/>
              </c:strCache>
            </c:strRef>
          </c:tx>
          <c:spPr>
            <a:solidFill>
              <a:schemeClr val="accent6"/>
            </a:solidFill>
            <a:ln>
              <a:noFill/>
            </a:ln>
            <a:effectLst/>
          </c:spPr>
          <c:invertIfNegative val="0"/>
          <c:val>
            <c:numRef>
              <c:f>'Background Calcs'!$H$5:$H$16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FE06-4AB5-AD22-AA54C7B001BB}"/>
            </c:ext>
          </c:extLst>
        </c:ser>
        <c:dLbls>
          <c:showLegendKey val="0"/>
          <c:showVal val="0"/>
          <c:showCatName val="0"/>
          <c:showSerName val="0"/>
          <c:showPercent val="0"/>
          <c:showBubbleSize val="0"/>
        </c:dLbls>
        <c:gapWidth val="100"/>
        <c:overlap val="100"/>
        <c:axId val="12722687"/>
        <c:axId val="1995681695"/>
      </c:barChart>
      <c:dateAx>
        <c:axId val="1272268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1995681695"/>
        <c:crosses val="autoZero"/>
        <c:auto val="1"/>
        <c:lblOffset val="100"/>
        <c:baseTimeUnit val="months"/>
      </c:dateAx>
      <c:valAx>
        <c:axId val="1995681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r>
                  <a:rPr lang="en-NZ" sz="1200" b="1" i="0" u="none" strike="noStrike" baseline="0">
                    <a:solidFill>
                      <a:sysClr val="windowText" lastClr="000000"/>
                    </a:solidFill>
                    <a:effectLst/>
                    <a:latin typeface="Franklin Gothic Book" panose="020B0503020102020204" pitchFamily="34" charset="0"/>
                  </a:rPr>
                  <a:t>Carbon Emissions (T CO</a:t>
                </a:r>
                <a:r>
                  <a:rPr lang="en-NZ" sz="1200" b="1" i="0" u="none" strike="noStrike" baseline="-25000">
                    <a:solidFill>
                      <a:sysClr val="windowText" lastClr="000000"/>
                    </a:solidFill>
                    <a:effectLst/>
                    <a:latin typeface="Franklin Gothic Book" panose="020B0503020102020204" pitchFamily="34" charset="0"/>
                  </a:rPr>
                  <a:t>2</a:t>
                </a:r>
                <a:r>
                  <a:rPr lang="en-NZ" sz="1200" b="1" i="0" u="none" strike="noStrike" baseline="0">
                    <a:solidFill>
                      <a:sysClr val="windowText" lastClr="000000"/>
                    </a:solidFill>
                    <a:effectLst/>
                    <a:latin typeface="Franklin Gothic Book" panose="020B0503020102020204" pitchFamily="34" charset="0"/>
                  </a:rPr>
                  <a:t>-e)</a:t>
                </a:r>
                <a:endParaRPr lang="en-NZ" sz="1200" b="1">
                  <a:solidFill>
                    <a:sysClr val="windowText" lastClr="000000"/>
                  </a:solidFill>
                  <a:latin typeface="Franklin Gothic Book" panose="020B0503020102020204" pitchFamily="34" charset="0"/>
                </a:endParaRPr>
              </a:p>
            </c:rich>
          </c:tx>
          <c:layout>
            <c:manualLayout>
              <c:xMode val="edge"/>
              <c:yMode val="edge"/>
              <c:x val="3.1910064543008175E-2"/>
              <c:y val="0.34709256540892491"/>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Franklin Gothic Book" panose="020B05030201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Franklin Gothic Book" panose="020B0503020102020204" pitchFamily="34" charset="0"/>
                <a:ea typeface="+mn-ea"/>
                <a:cs typeface="+mn-cs"/>
              </a:defRPr>
            </a:pPr>
            <a:endParaRPr lang="en-US"/>
          </a:p>
        </c:txPr>
        <c:crossAx val="12722687"/>
        <c:crosses val="autoZero"/>
        <c:crossBetween val="between"/>
      </c:valAx>
      <c:spPr>
        <a:noFill/>
        <a:ln>
          <a:noFill/>
        </a:ln>
        <a:effectLst/>
      </c:spPr>
    </c:plotArea>
    <c:legend>
      <c:legendPos val="r"/>
      <c:layout>
        <c:manualLayout>
          <c:xMode val="edge"/>
          <c:yMode val="edge"/>
          <c:x val="0.86852083613965048"/>
          <c:y val="0.25425472213214906"/>
          <c:w val="0.10141177142903793"/>
          <c:h val="0.5937329847186161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493395</xdr:colOff>
      <xdr:row>0</xdr:row>
      <xdr:rowOff>188595</xdr:rowOff>
    </xdr:from>
    <xdr:to>
      <xdr:col>14</xdr:col>
      <xdr:colOff>403225</xdr:colOff>
      <xdr:row>0</xdr:row>
      <xdr:rowOff>1293948</xdr:rowOff>
    </xdr:to>
    <xdr:pic>
      <xdr:nvPicPr>
        <xdr:cNvPr id="4" name="Picture 2">
          <a:extLst>
            <a:ext uri="{FF2B5EF4-FFF2-40B4-BE49-F238E27FC236}">
              <a16:creationId xmlns:a16="http://schemas.microsoft.com/office/drawing/2014/main" id="{74E04A26-242F-45AF-9916-EDA009FD087C}"/>
            </a:ext>
          </a:extLst>
        </xdr:cNvPr>
        <xdr:cNvPicPr>
          <a:picLocks noChangeAspect="1"/>
        </xdr:cNvPicPr>
      </xdr:nvPicPr>
      <xdr:blipFill>
        <a:blip xmlns:r="http://schemas.openxmlformats.org/officeDocument/2006/relationships" r:embed="rId1"/>
        <a:stretch>
          <a:fillRect/>
        </a:stretch>
      </xdr:blipFill>
      <xdr:spPr>
        <a:xfrm>
          <a:off x="14199870" y="188595"/>
          <a:ext cx="1906270" cy="11053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840377</xdr:colOff>
      <xdr:row>0</xdr:row>
      <xdr:rowOff>409847</xdr:rowOff>
    </xdr:from>
    <xdr:to>
      <xdr:col>12</xdr:col>
      <xdr:colOff>399687</xdr:colOff>
      <xdr:row>0</xdr:row>
      <xdr:rowOff>1503770</xdr:rowOff>
    </xdr:to>
    <xdr:pic>
      <xdr:nvPicPr>
        <xdr:cNvPr id="4" name="Picture 2">
          <a:extLst>
            <a:ext uri="{FF2B5EF4-FFF2-40B4-BE49-F238E27FC236}">
              <a16:creationId xmlns:a16="http://schemas.microsoft.com/office/drawing/2014/main" id="{1D2B0090-2AE5-4AB8-9D1F-54B9623BDBE9}"/>
            </a:ext>
          </a:extLst>
        </xdr:cNvPr>
        <xdr:cNvPicPr>
          <a:picLocks noChangeAspect="1"/>
        </xdr:cNvPicPr>
      </xdr:nvPicPr>
      <xdr:blipFill>
        <a:blip xmlns:r="http://schemas.openxmlformats.org/officeDocument/2006/relationships" r:embed="rId1"/>
        <a:stretch>
          <a:fillRect/>
        </a:stretch>
      </xdr:blipFill>
      <xdr:spPr>
        <a:xfrm>
          <a:off x="12950734" y="409847"/>
          <a:ext cx="1911169" cy="11053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20</xdr:col>
      <xdr:colOff>9525</xdr:colOff>
      <xdr:row>30</xdr:row>
      <xdr:rowOff>168088</xdr:rowOff>
    </xdr:to>
    <xdr:graphicFrame macro="">
      <xdr:nvGraphicFramePr>
        <xdr:cNvPr id="7" name="Chart 1">
          <a:extLst>
            <a:ext uri="{FF2B5EF4-FFF2-40B4-BE49-F238E27FC236}">
              <a16:creationId xmlns:a16="http://schemas.microsoft.com/office/drawing/2014/main" id="{E18F1C37-7847-4648-8B4B-B4B5970409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64</xdr:row>
      <xdr:rowOff>81242</xdr:rowOff>
    </xdr:from>
    <xdr:to>
      <xdr:col>20</xdr:col>
      <xdr:colOff>0</xdr:colOff>
      <xdr:row>98</xdr:row>
      <xdr:rowOff>170330</xdr:rowOff>
    </xdr:to>
    <xdr:graphicFrame macro="">
      <xdr:nvGraphicFramePr>
        <xdr:cNvPr id="10" name="Chart 2">
          <a:extLst>
            <a:ext uri="{FF2B5EF4-FFF2-40B4-BE49-F238E27FC236}">
              <a16:creationId xmlns:a16="http://schemas.microsoft.com/office/drawing/2014/main" id="{111F225D-9370-4C6B-BB5F-A3515FD97073}"/>
            </a:ext>
            <a:ext uri="{147F2762-F138-4A5C-976F-8EAC2B608ADB}">
              <a16:predDERef xmlns:a16="http://schemas.microsoft.com/office/drawing/2014/main" pred="{E18F1C37-7847-4648-8B4B-B4B5970409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xdr:row>
      <xdr:rowOff>133351</xdr:rowOff>
    </xdr:from>
    <xdr:to>
      <xdr:col>20</xdr:col>
      <xdr:colOff>57150</xdr:colOff>
      <xdr:row>60</xdr:row>
      <xdr:rowOff>66675</xdr:rowOff>
    </xdr:to>
    <xdr:graphicFrame macro="">
      <xdr:nvGraphicFramePr>
        <xdr:cNvPr id="9" name="Chart 3">
          <a:extLst>
            <a:ext uri="{FF2B5EF4-FFF2-40B4-BE49-F238E27FC236}">
              <a16:creationId xmlns:a16="http://schemas.microsoft.com/office/drawing/2014/main" id="{2DB5F32B-715F-407A-8C85-7A917A66B09F}"/>
            </a:ext>
            <a:ext uri="{147F2762-F138-4A5C-976F-8EAC2B608ADB}">
              <a16:predDERef xmlns:a16="http://schemas.microsoft.com/office/drawing/2014/main" pred="{111F225D-9370-4C6B-BB5F-A3515FD970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15</xdr:col>
      <xdr:colOff>609600</xdr:colOff>
      <xdr:row>0</xdr:row>
      <xdr:rowOff>247650</xdr:rowOff>
    </xdr:from>
    <xdr:to>
      <xdr:col>19</xdr:col>
      <xdr:colOff>17417</xdr:colOff>
      <xdr:row>0</xdr:row>
      <xdr:rowOff>1333953</xdr:rowOff>
    </xdr:to>
    <xdr:pic>
      <xdr:nvPicPr>
        <xdr:cNvPr id="6" name="Picture 2">
          <a:extLst>
            <a:ext uri="{FF2B5EF4-FFF2-40B4-BE49-F238E27FC236}">
              <a16:creationId xmlns:a16="http://schemas.microsoft.com/office/drawing/2014/main" id="{41E4AA5A-3879-44EB-BBE4-199D88AB1F1E}"/>
            </a:ext>
          </a:extLst>
        </xdr:cNvPr>
        <xdr:cNvPicPr>
          <a:picLocks noChangeAspect="1"/>
        </xdr:cNvPicPr>
      </xdr:nvPicPr>
      <xdr:blipFill>
        <a:blip xmlns:r="http://schemas.openxmlformats.org/officeDocument/2006/relationships" r:embed="rId4"/>
        <a:stretch>
          <a:fillRect/>
        </a:stretch>
      </xdr:blipFill>
      <xdr:spPr>
        <a:xfrm>
          <a:off x="10039350" y="247650"/>
          <a:ext cx="1933847" cy="10863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40551</xdr:colOff>
      <xdr:row>12</xdr:row>
      <xdr:rowOff>40267</xdr:rowOff>
    </xdr:from>
    <xdr:to>
      <xdr:col>35</xdr:col>
      <xdr:colOff>27214</xdr:colOff>
      <xdr:row>36</xdr:row>
      <xdr:rowOff>112608</xdr:rowOff>
    </xdr:to>
    <xdr:pic>
      <xdr:nvPicPr>
        <xdr:cNvPr id="22" name="Picture 21">
          <a:extLst>
            <a:ext uri="{FF2B5EF4-FFF2-40B4-BE49-F238E27FC236}">
              <a16:creationId xmlns:a16="http://schemas.microsoft.com/office/drawing/2014/main" id="{CB33AD06-CD2E-B187-7CA9-E018982FDD2A}"/>
            </a:ext>
          </a:extLst>
        </xdr:cNvPr>
        <xdr:cNvPicPr>
          <a:picLocks noChangeAspect="1"/>
        </xdr:cNvPicPr>
      </xdr:nvPicPr>
      <xdr:blipFill>
        <a:blip xmlns:r="http://schemas.openxmlformats.org/officeDocument/2006/relationships" r:embed="rId1"/>
        <a:stretch>
          <a:fillRect/>
        </a:stretch>
      </xdr:blipFill>
      <xdr:spPr>
        <a:xfrm>
          <a:off x="10450015" y="2162981"/>
          <a:ext cx="11008449" cy="4317770"/>
        </a:xfrm>
        <a:prstGeom prst="rect">
          <a:avLst/>
        </a:prstGeom>
      </xdr:spPr>
    </xdr:pic>
    <xdr:clientData/>
  </xdr:twoCellAnchor>
  <xdr:twoCellAnchor editAs="oneCell">
    <xdr:from>
      <xdr:col>1</xdr:col>
      <xdr:colOff>419917</xdr:colOff>
      <xdr:row>10</xdr:row>
      <xdr:rowOff>6164</xdr:rowOff>
    </xdr:from>
    <xdr:to>
      <xdr:col>15</xdr:col>
      <xdr:colOff>449037</xdr:colOff>
      <xdr:row>36</xdr:row>
      <xdr:rowOff>126829</xdr:rowOff>
    </xdr:to>
    <xdr:pic>
      <xdr:nvPicPr>
        <xdr:cNvPr id="2" name="Picture 1">
          <a:extLst>
            <a:ext uri="{FF2B5EF4-FFF2-40B4-BE49-F238E27FC236}">
              <a16:creationId xmlns:a16="http://schemas.microsoft.com/office/drawing/2014/main" id="{C1FFB3E8-0298-3366-555A-19C05199851D}"/>
            </a:ext>
          </a:extLst>
        </xdr:cNvPr>
        <xdr:cNvPicPr>
          <a:picLocks noChangeAspect="1"/>
        </xdr:cNvPicPr>
      </xdr:nvPicPr>
      <xdr:blipFill>
        <a:blip xmlns:r="http://schemas.openxmlformats.org/officeDocument/2006/relationships" r:embed="rId2"/>
        <a:stretch>
          <a:fillRect/>
        </a:stretch>
      </xdr:blipFill>
      <xdr:spPr>
        <a:xfrm>
          <a:off x="1032238" y="1775093"/>
          <a:ext cx="8601620" cy="4719879"/>
        </a:xfrm>
        <a:prstGeom prst="rect">
          <a:avLst/>
        </a:prstGeom>
      </xdr:spPr>
    </xdr:pic>
    <xdr:clientData/>
  </xdr:twoCellAnchor>
  <xdr:twoCellAnchor editAs="oneCell">
    <xdr:from>
      <xdr:col>0</xdr:col>
      <xdr:colOff>0</xdr:colOff>
      <xdr:row>0</xdr:row>
      <xdr:rowOff>0</xdr:rowOff>
    </xdr:from>
    <xdr:to>
      <xdr:col>0</xdr:col>
      <xdr:colOff>304800</xdr:colOff>
      <xdr:row>1</xdr:row>
      <xdr:rowOff>120650</xdr:rowOff>
    </xdr:to>
    <xdr:sp macro="" textlink="">
      <xdr:nvSpPr>
        <xdr:cNvPr id="3" name="AutoShape 1">
          <a:extLst>
            <a:ext uri="{FF2B5EF4-FFF2-40B4-BE49-F238E27FC236}">
              <a16:creationId xmlns:a16="http://schemas.microsoft.com/office/drawing/2014/main" id="{38FB0A9C-FCC8-40F0-B52A-98CE6C3BA3CE}"/>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xdr:row>
      <xdr:rowOff>0</xdr:rowOff>
    </xdr:from>
    <xdr:to>
      <xdr:col>2</xdr:col>
      <xdr:colOff>304800</xdr:colOff>
      <xdr:row>6</xdr:row>
      <xdr:rowOff>120650</xdr:rowOff>
    </xdr:to>
    <xdr:sp macro="" textlink="">
      <xdr:nvSpPr>
        <xdr:cNvPr id="4" name="AutoShape 2">
          <a:extLst>
            <a:ext uri="{FF2B5EF4-FFF2-40B4-BE49-F238E27FC236}">
              <a16:creationId xmlns:a16="http://schemas.microsoft.com/office/drawing/2014/main" id="{C11C7500-E74C-487D-9E5E-B145C3DD495C}"/>
            </a:ext>
          </a:extLst>
        </xdr:cNvPr>
        <xdr:cNvSpPr>
          <a:spLocks noChangeAspect="1" noChangeArrowheads="1"/>
        </xdr:cNvSpPr>
      </xdr:nvSpPr>
      <xdr:spPr bwMode="auto">
        <a:xfrm>
          <a:off x="1219200" y="90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123825</xdr:colOff>
      <xdr:row>0</xdr:row>
      <xdr:rowOff>57150</xdr:rowOff>
    </xdr:from>
    <xdr:to>
      <xdr:col>3</xdr:col>
      <xdr:colOff>523875</xdr:colOff>
      <xdr:row>6</xdr:row>
      <xdr:rowOff>47625</xdr:rowOff>
    </xdr:to>
    <xdr:sp macro="" textlink="">
      <xdr:nvSpPr>
        <xdr:cNvPr id="5" name="TextBox 4">
          <a:extLst>
            <a:ext uri="{FF2B5EF4-FFF2-40B4-BE49-F238E27FC236}">
              <a16:creationId xmlns:a16="http://schemas.microsoft.com/office/drawing/2014/main" id="{068C6764-4A19-4C65-AA51-D329E623FED7}"/>
            </a:ext>
          </a:extLst>
        </xdr:cNvPr>
        <xdr:cNvSpPr txBox="1"/>
      </xdr:nvSpPr>
      <xdr:spPr>
        <a:xfrm>
          <a:off x="120650" y="57150"/>
          <a:ext cx="2228850" cy="1073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t>Example:</a:t>
          </a:r>
        </a:p>
        <a:p>
          <a:r>
            <a:rPr lang="en-NZ" sz="1100" i="1"/>
            <a:t>Note</a:t>
          </a:r>
          <a:r>
            <a:rPr lang="en-NZ" sz="1100" i="1" baseline="0"/>
            <a:t> this is an example only designed for the purpose of demonstrating the tool and the infomraiton does not reflect a true site</a:t>
          </a:r>
          <a:endParaRPr lang="en-NZ" sz="1100" i="1"/>
        </a:p>
      </xdr:txBody>
    </xdr:sp>
    <xdr:clientData/>
  </xdr:twoCellAnchor>
  <xdr:twoCellAnchor>
    <xdr:from>
      <xdr:col>0</xdr:col>
      <xdr:colOff>57150</xdr:colOff>
      <xdr:row>12</xdr:row>
      <xdr:rowOff>0</xdr:rowOff>
    </xdr:from>
    <xdr:to>
      <xdr:col>2</xdr:col>
      <xdr:colOff>301626</xdr:colOff>
      <xdr:row>21</xdr:row>
      <xdr:rowOff>57150</xdr:rowOff>
    </xdr:to>
    <xdr:sp macro="" textlink="">
      <xdr:nvSpPr>
        <xdr:cNvPr id="7" name="Callout: Right Arrow 6">
          <a:extLst>
            <a:ext uri="{FF2B5EF4-FFF2-40B4-BE49-F238E27FC236}">
              <a16:creationId xmlns:a16="http://schemas.microsoft.com/office/drawing/2014/main" id="{45D11747-3666-4FE4-AB70-BEC578FC9BDF}"/>
            </a:ext>
          </a:extLst>
        </xdr:cNvPr>
        <xdr:cNvSpPr/>
      </xdr:nvSpPr>
      <xdr:spPr>
        <a:xfrm>
          <a:off x="57150" y="2171700"/>
          <a:ext cx="1463676" cy="1685925"/>
        </a:xfrm>
        <a:prstGeom prst="rightArrowCallout">
          <a:avLst/>
        </a:prstGeom>
        <a:solidFill>
          <a:srgbClr val="16405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Enter</a:t>
          </a:r>
          <a:r>
            <a:rPr lang="en-NZ" sz="1100" baseline="0"/>
            <a:t> name of site for referance. Fill in a different spreadsheet for each site.</a:t>
          </a:r>
          <a:endParaRPr lang="en-NZ" sz="1100"/>
        </a:p>
      </xdr:txBody>
    </xdr:sp>
    <xdr:clientData/>
  </xdr:twoCellAnchor>
  <xdr:twoCellAnchor>
    <xdr:from>
      <xdr:col>6</xdr:col>
      <xdr:colOff>288924</xdr:colOff>
      <xdr:row>13</xdr:row>
      <xdr:rowOff>53975</xdr:rowOff>
    </xdr:from>
    <xdr:to>
      <xdr:col>10</xdr:col>
      <xdr:colOff>19049</xdr:colOff>
      <xdr:row>19</xdr:row>
      <xdr:rowOff>177800</xdr:rowOff>
    </xdr:to>
    <xdr:sp macro="" textlink="">
      <xdr:nvSpPr>
        <xdr:cNvPr id="8" name="Callout: Left Arrow 7">
          <a:extLst>
            <a:ext uri="{FF2B5EF4-FFF2-40B4-BE49-F238E27FC236}">
              <a16:creationId xmlns:a16="http://schemas.microsoft.com/office/drawing/2014/main" id="{7F3DCF82-391E-4818-9B33-A2F18C72246E}"/>
            </a:ext>
          </a:extLst>
        </xdr:cNvPr>
        <xdr:cNvSpPr/>
      </xdr:nvSpPr>
      <xdr:spPr>
        <a:xfrm>
          <a:off x="3946524" y="2406650"/>
          <a:ext cx="2168525" cy="1212850"/>
        </a:xfrm>
        <a:prstGeom prst="leftArrowCallout">
          <a:avLst/>
        </a:prstGeom>
        <a:solidFill>
          <a:srgbClr val="16405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From</a:t>
          </a:r>
          <a:r>
            <a:rPr lang="en-NZ" sz="1100" baseline="0"/>
            <a:t> the drop down select your region. This will grab the weather data for that region ein the summary graph tab.</a:t>
          </a:r>
          <a:endParaRPr lang="en-NZ" sz="1100"/>
        </a:p>
      </xdr:txBody>
    </xdr:sp>
    <xdr:clientData/>
  </xdr:twoCellAnchor>
  <xdr:twoCellAnchor>
    <xdr:from>
      <xdr:col>3</xdr:col>
      <xdr:colOff>225425</xdr:colOff>
      <xdr:row>5</xdr:row>
      <xdr:rowOff>104775</xdr:rowOff>
    </xdr:from>
    <xdr:to>
      <xdr:col>6</xdr:col>
      <xdr:colOff>15875</xdr:colOff>
      <xdr:row>15</xdr:row>
      <xdr:rowOff>95250</xdr:rowOff>
    </xdr:to>
    <xdr:sp macro="" textlink="">
      <xdr:nvSpPr>
        <xdr:cNvPr id="9" name="Callout: Down Arrow 8">
          <a:extLst>
            <a:ext uri="{FF2B5EF4-FFF2-40B4-BE49-F238E27FC236}">
              <a16:creationId xmlns:a16="http://schemas.microsoft.com/office/drawing/2014/main" id="{171DA3BC-3356-4955-8253-BCAE0A3697AE}"/>
            </a:ext>
          </a:extLst>
        </xdr:cNvPr>
        <xdr:cNvSpPr/>
      </xdr:nvSpPr>
      <xdr:spPr>
        <a:xfrm>
          <a:off x="2054225" y="1006475"/>
          <a:ext cx="1619250" cy="1803400"/>
        </a:xfrm>
        <a:prstGeom prst="downArrowCallout">
          <a:avLst/>
        </a:prstGeom>
        <a:solidFill>
          <a:srgbClr val="16405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NZ" sz="1100">
              <a:solidFill>
                <a:schemeClr val="lt1"/>
              </a:solidFill>
              <a:effectLst/>
              <a:latin typeface="+mn-lt"/>
              <a:ea typeface="+mn-ea"/>
              <a:cs typeface="+mn-cs"/>
            </a:rPr>
            <a:t>Enter</a:t>
          </a:r>
          <a:r>
            <a:rPr lang="en-NZ" sz="1100" baseline="0">
              <a:solidFill>
                <a:schemeClr val="lt1"/>
              </a:solidFill>
              <a:effectLst/>
              <a:latin typeface="+mn-lt"/>
              <a:ea typeface="+mn-ea"/>
              <a:cs typeface="+mn-cs"/>
            </a:rPr>
            <a:t> the starting month and year from the bills or invoice you wish to track. This will populate the dates throughout the spreadsheet. </a:t>
          </a:r>
          <a:endParaRPr lang="en-NZ">
            <a:effectLst/>
          </a:endParaRPr>
        </a:p>
      </xdr:txBody>
    </xdr:sp>
    <xdr:clientData/>
  </xdr:twoCellAnchor>
  <xdr:twoCellAnchor>
    <xdr:from>
      <xdr:col>0</xdr:col>
      <xdr:colOff>47625</xdr:colOff>
      <xdr:row>24</xdr:row>
      <xdr:rowOff>15875</xdr:rowOff>
    </xdr:from>
    <xdr:to>
      <xdr:col>1</xdr:col>
      <xdr:colOff>539750</xdr:colOff>
      <xdr:row>31</xdr:row>
      <xdr:rowOff>114300</xdr:rowOff>
    </xdr:to>
    <xdr:sp macro="" textlink="">
      <xdr:nvSpPr>
        <xdr:cNvPr id="10" name="Callout: Right Arrow 9">
          <a:extLst>
            <a:ext uri="{FF2B5EF4-FFF2-40B4-BE49-F238E27FC236}">
              <a16:creationId xmlns:a16="http://schemas.microsoft.com/office/drawing/2014/main" id="{7925944A-9DCD-431A-B7A3-6653B18DF2A8}"/>
            </a:ext>
          </a:extLst>
        </xdr:cNvPr>
        <xdr:cNvSpPr/>
      </xdr:nvSpPr>
      <xdr:spPr>
        <a:xfrm>
          <a:off x="44450" y="4359275"/>
          <a:ext cx="1108075" cy="1365250"/>
        </a:xfrm>
        <a:prstGeom prst="rightArrowCallout">
          <a:avLst/>
        </a:prstGeom>
        <a:solidFill>
          <a:srgbClr val="16405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Dates will popluate once a start</a:t>
          </a:r>
          <a:r>
            <a:rPr lang="en-NZ" sz="1100" baseline="0"/>
            <a:t> date is entered. </a:t>
          </a:r>
          <a:endParaRPr lang="en-NZ" sz="1100"/>
        </a:p>
      </xdr:txBody>
    </xdr:sp>
    <xdr:clientData/>
  </xdr:twoCellAnchor>
  <xdr:twoCellAnchor>
    <xdr:from>
      <xdr:col>1</xdr:col>
      <xdr:colOff>400051</xdr:colOff>
      <xdr:row>34</xdr:row>
      <xdr:rowOff>133350</xdr:rowOff>
    </xdr:from>
    <xdr:to>
      <xdr:col>3</xdr:col>
      <xdr:colOff>561975</xdr:colOff>
      <xdr:row>47</xdr:row>
      <xdr:rowOff>15875</xdr:rowOff>
    </xdr:to>
    <xdr:sp macro="" textlink="">
      <xdr:nvSpPr>
        <xdr:cNvPr id="11" name="Callout: Up Arrow 10">
          <a:extLst>
            <a:ext uri="{FF2B5EF4-FFF2-40B4-BE49-F238E27FC236}">
              <a16:creationId xmlns:a16="http://schemas.microsoft.com/office/drawing/2014/main" id="{1FF8AC69-2842-48AD-90D6-D1683132AE45}"/>
            </a:ext>
          </a:extLst>
        </xdr:cNvPr>
        <xdr:cNvSpPr/>
      </xdr:nvSpPr>
      <xdr:spPr>
        <a:xfrm>
          <a:off x="1009651" y="6286500"/>
          <a:ext cx="1377949" cy="2235200"/>
        </a:xfrm>
        <a:prstGeom prst="upArrowCallout">
          <a:avLst/>
        </a:prstGeom>
        <a:solidFill>
          <a:srgbClr val="16405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From</a:t>
          </a:r>
          <a:r>
            <a:rPr lang="en-NZ" sz="1100" baseline="0"/>
            <a:t> your retailer enter the monthly electricial use for that site in kWh.</a:t>
          </a:r>
        </a:p>
        <a:p>
          <a:pPr algn="l"/>
          <a:r>
            <a:rPr lang="en-NZ" sz="1100" baseline="0"/>
            <a:t>The grey cell will add the column to generate the total electricity used </a:t>
          </a:r>
          <a:endParaRPr lang="en-NZ" sz="1100"/>
        </a:p>
      </xdr:txBody>
    </xdr:sp>
    <xdr:clientData/>
  </xdr:twoCellAnchor>
  <xdr:twoCellAnchor>
    <xdr:from>
      <xdr:col>3</xdr:col>
      <xdr:colOff>587376</xdr:colOff>
      <xdr:row>34</xdr:row>
      <xdr:rowOff>123825</xdr:rowOff>
    </xdr:from>
    <xdr:to>
      <xdr:col>6</xdr:col>
      <xdr:colOff>142875</xdr:colOff>
      <xdr:row>47</xdr:row>
      <xdr:rowOff>9525</xdr:rowOff>
    </xdr:to>
    <xdr:sp macro="" textlink="">
      <xdr:nvSpPr>
        <xdr:cNvPr id="12" name="Callout: Up Arrow 11">
          <a:extLst>
            <a:ext uri="{FF2B5EF4-FFF2-40B4-BE49-F238E27FC236}">
              <a16:creationId xmlns:a16="http://schemas.microsoft.com/office/drawing/2014/main" id="{42761140-2B79-45F0-AFFF-5517155AC37E}"/>
            </a:ext>
          </a:extLst>
        </xdr:cNvPr>
        <xdr:cNvSpPr/>
      </xdr:nvSpPr>
      <xdr:spPr>
        <a:xfrm>
          <a:off x="2416176" y="6273800"/>
          <a:ext cx="1381124" cy="2238375"/>
        </a:xfrm>
        <a:prstGeom prst="upArrowCallout">
          <a:avLst/>
        </a:prstGeom>
        <a:solidFill>
          <a:srgbClr val="16405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From</a:t>
          </a:r>
          <a:r>
            <a:rPr lang="en-NZ" sz="1100" baseline="0"/>
            <a:t> your retailer enter the monthly gasl use for that site in GJ.</a:t>
          </a:r>
        </a:p>
        <a:p>
          <a:pPr algn="l"/>
          <a:r>
            <a:rPr lang="en-NZ" sz="1100" baseline="0"/>
            <a:t>The grey cell will add the column to generate the total electricity used </a:t>
          </a:r>
          <a:endParaRPr lang="en-NZ" sz="1100"/>
        </a:p>
      </xdr:txBody>
    </xdr:sp>
    <xdr:clientData/>
  </xdr:twoCellAnchor>
  <xdr:twoCellAnchor>
    <xdr:from>
      <xdr:col>5</xdr:col>
      <xdr:colOff>603249</xdr:colOff>
      <xdr:row>21</xdr:row>
      <xdr:rowOff>47624</xdr:rowOff>
    </xdr:from>
    <xdr:to>
      <xdr:col>9</xdr:col>
      <xdr:colOff>333374</xdr:colOff>
      <xdr:row>26</xdr:row>
      <xdr:rowOff>152400</xdr:rowOff>
    </xdr:to>
    <xdr:sp macro="" textlink="">
      <xdr:nvSpPr>
        <xdr:cNvPr id="13" name="Callout: Left Arrow 12">
          <a:extLst>
            <a:ext uri="{FF2B5EF4-FFF2-40B4-BE49-F238E27FC236}">
              <a16:creationId xmlns:a16="http://schemas.microsoft.com/office/drawing/2014/main" id="{0773B003-4A36-4451-A207-34E616ABEE01}"/>
            </a:ext>
          </a:extLst>
        </xdr:cNvPr>
        <xdr:cNvSpPr/>
      </xdr:nvSpPr>
      <xdr:spPr>
        <a:xfrm>
          <a:off x="3648074" y="3851274"/>
          <a:ext cx="2174875" cy="1006476"/>
        </a:xfrm>
        <a:prstGeom prst="leftArrowCallout">
          <a:avLst/>
        </a:prstGeom>
        <a:solidFill>
          <a:srgbClr val="16405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This site</a:t>
          </a:r>
          <a:r>
            <a:rPr lang="en-NZ" sz="1100" baseline="0"/>
            <a:t> uses gas heating. The dropdwon unitls are selected as GJ which is what are on the .</a:t>
          </a:r>
        </a:p>
      </xdr:txBody>
    </xdr:sp>
    <xdr:clientData/>
  </xdr:twoCellAnchor>
  <xdr:twoCellAnchor>
    <xdr:from>
      <xdr:col>6</xdr:col>
      <xdr:colOff>387350</xdr:colOff>
      <xdr:row>34</xdr:row>
      <xdr:rowOff>123825</xdr:rowOff>
    </xdr:from>
    <xdr:to>
      <xdr:col>8</xdr:col>
      <xdr:colOff>555624</xdr:colOff>
      <xdr:row>47</xdr:row>
      <xdr:rowOff>19050</xdr:rowOff>
    </xdr:to>
    <xdr:sp macro="" textlink="">
      <xdr:nvSpPr>
        <xdr:cNvPr id="14" name="Callout: Up Arrow 13">
          <a:extLst>
            <a:ext uri="{FF2B5EF4-FFF2-40B4-BE49-F238E27FC236}">
              <a16:creationId xmlns:a16="http://schemas.microsoft.com/office/drawing/2014/main" id="{5B4FF267-E079-4954-883C-EAABE277108C}"/>
            </a:ext>
          </a:extLst>
        </xdr:cNvPr>
        <xdr:cNvSpPr/>
      </xdr:nvSpPr>
      <xdr:spPr>
        <a:xfrm>
          <a:off x="4048125" y="6273800"/>
          <a:ext cx="1384299" cy="2251075"/>
        </a:xfrm>
        <a:prstGeom prst="upArrowCallout">
          <a:avLst/>
        </a:prstGeom>
        <a:solidFill>
          <a:srgbClr val="16405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This site uses no other fuels.</a:t>
          </a:r>
          <a:r>
            <a:rPr lang="en-NZ" sz="1100" baseline="0"/>
            <a:t> So the reamining columns are left blank.</a:t>
          </a:r>
          <a:endParaRPr lang="en-NZ" sz="1100"/>
        </a:p>
      </xdr:txBody>
    </xdr:sp>
    <xdr:clientData/>
  </xdr:twoCellAnchor>
  <xdr:twoCellAnchor>
    <xdr:from>
      <xdr:col>10</xdr:col>
      <xdr:colOff>44904</xdr:colOff>
      <xdr:row>35</xdr:row>
      <xdr:rowOff>32204</xdr:rowOff>
    </xdr:from>
    <xdr:to>
      <xdr:col>12</xdr:col>
      <xdr:colOff>206828</xdr:colOff>
      <xdr:row>47</xdr:row>
      <xdr:rowOff>97972</xdr:rowOff>
    </xdr:to>
    <xdr:sp macro="" textlink="">
      <xdr:nvSpPr>
        <xdr:cNvPr id="15" name="Callout: Up Arrow 14">
          <a:extLst>
            <a:ext uri="{FF2B5EF4-FFF2-40B4-BE49-F238E27FC236}">
              <a16:creationId xmlns:a16="http://schemas.microsoft.com/office/drawing/2014/main" id="{8FBB1AC5-F446-426D-8100-7FE333DF0B89}"/>
            </a:ext>
          </a:extLst>
        </xdr:cNvPr>
        <xdr:cNvSpPr/>
      </xdr:nvSpPr>
      <xdr:spPr>
        <a:xfrm>
          <a:off x="6168118" y="6223454"/>
          <a:ext cx="1386567" cy="2188482"/>
        </a:xfrm>
        <a:prstGeom prst="upArrowCallout">
          <a:avLst/>
        </a:prstGeom>
        <a:solidFill>
          <a:srgbClr val="16405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The grey total column</a:t>
          </a:r>
          <a:r>
            <a:rPr lang="en-NZ" sz="1100" baseline="0"/>
            <a:t> converts all energy into kWh and sums up the information that has been entered.</a:t>
          </a:r>
          <a:endParaRPr lang="en-NZ" sz="1100"/>
        </a:p>
      </xdr:txBody>
    </xdr:sp>
    <xdr:clientData/>
  </xdr:twoCellAnchor>
  <xdr:twoCellAnchor>
    <xdr:from>
      <xdr:col>13</xdr:col>
      <xdr:colOff>532946</xdr:colOff>
      <xdr:row>34</xdr:row>
      <xdr:rowOff>141513</xdr:rowOff>
    </xdr:from>
    <xdr:to>
      <xdr:col>16</xdr:col>
      <xdr:colOff>78920</xdr:colOff>
      <xdr:row>47</xdr:row>
      <xdr:rowOff>141513</xdr:rowOff>
    </xdr:to>
    <xdr:sp macro="" textlink="">
      <xdr:nvSpPr>
        <xdr:cNvPr id="16" name="Callout: Up Arrow 15">
          <a:extLst>
            <a:ext uri="{FF2B5EF4-FFF2-40B4-BE49-F238E27FC236}">
              <a16:creationId xmlns:a16="http://schemas.microsoft.com/office/drawing/2014/main" id="{378629E4-D3F5-4DB4-B3CB-191D431F5E8F}"/>
            </a:ext>
          </a:extLst>
        </xdr:cNvPr>
        <xdr:cNvSpPr/>
      </xdr:nvSpPr>
      <xdr:spPr>
        <a:xfrm>
          <a:off x="8493125" y="6155870"/>
          <a:ext cx="1382938" cy="2299607"/>
        </a:xfrm>
        <a:prstGeom prst="upArrowCallout">
          <a:avLst/>
        </a:prstGeom>
        <a:solidFill>
          <a:srgbClr val="16405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The teal</a:t>
          </a:r>
          <a:r>
            <a:rPr lang="en-NZ" sz="1100" baseline="0"/>
            <a:t> column converts the infomration entered into emissions with the emissions factors in the parameters tab.   </a:t>
          </a:r>
          <a:endParaRPr lang="en-NZ" sz="1100"/>
        </a:p>
      </xdr:txBody>
    </xdr:sp>
    <xdr:clientData/>
  </xdr:twoCellAnchor>
  <xdr:twoCellAnchor>
    <xdr:from>
      <xdr:col>18</xdr:col>
      <xdr:colOff>457199</xdr:colOff>
      <xdr:row>4</xdr:row>
      <xdr:rowOff>149680</xdr:rowOff>
    </xdr:from>
    <xdr:to>
      <xdr:col>23</xdr:col>
      <xdr:colOff>241299</xdr:colOff>
      <xdr:row>12</xdr:row>
      <xdr:rowOff>95251</xdr:rowOff>
    </xdr:to>
    <xdr:sp macro="" textlink="">
      <xdr:nvSpPr>
        <xdr:cNvPr id="17" name="Callout: Down Arrow 16">
          <a:extLst>
            <a:ext uri="{FF2B5EF4-FFF2-40B4-BE49-F238E27FC236}">
              <a16:creationId xmlns:a16="http://schemas.microsoft.com/office/drawing/2014/main" id="{6E2E0AC7-8A99-4EBD-93D6-7A581FF1344D}"/>
            </a:ext>
          </a:extLst>
        </xdr:cNvPr>
        <xdr:cNvSpPr/>
      </xdr:nvSpPr>
      <xdr:spPr>
        <a:xfrm>
          <a:off x="11478985" y="857251"/>
          <a:ext cx="2845707" cy="1360714"/>
        </a:xfrm>
        <a:prstGeom prst="downArrowCallout">
          <a:avLst/>
        </a:prstGeom>
        <a:solidFill>
          <a:srgbClr val="16405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NZ" sz="1100">
              <a:solidFill>
                <a:schemeClr val="lt1"/>
              </a:solidFill>
              <a:effectLst/>
              <a:latin typeface="+mn-lt"/>
              <a:ea typeface="+mn-ea"/>
              <a:cs typeface="+mn-cs"/>
            </a:rPr>
            <a:t>Enter the deatils of the site.</a:t>
          </a:r>
          <a:r>
            <a:rPr lang="en-NZ" sz="1100" baseline="0">
              <a:solidFill>
                <a:schemeClr val="lt1"/>
              </a:solidFill>
              <a:effectLst/>
              <a:latin typeface="+mn-lt"/>
              <a:ea typeface="+mn-ea"/>
              <a:cs typeface="+mn-cs"/>
            </a:rPr>
            <a:t> understanding the foot print help benchmarking. this example has rooms at 450m2 and other areas at 300m2 this includes entrace, confrence and dinning</a:t>
          </a:r>
          <a:endParaRPr lang="en-NZ">
            <a:effectLst/>
          </a:endParaRPr>
        </a:p>
      </xdr:txBody>
    </xdr:sp>
    <xdr:clientData/>
  </xdr:twoCellAnchor>
  <xdr:twoCellAnchor>
    <xdr:from>
      <xdr:col>15</xdr:col>
      <xdr:colOff>522968</xdr:colOff>
      <xdr:row>24</xdr:row>
      <xdr:rowOff>1360</xdr:rowOff>
    </xdr:from>
    <xdr:to>
      <xdr:col>18</xdr:col>
      <xdr:colOff>154669</xdr:colOff>
      <xdr:row>30</xdr:row>
      <xdr:rowOff>27214</xdr:rowOff>
    </xdr:to>
    <xdr:sp macro="" textlink="">
      <xdr:nvSpPr>
        <xdr:cNvPr id="18" name="Callout: Right Arrow 17">
          <a:extLst>
            <a:ext uri="{FF2B5EF4-FFF2-40B4-BE49-F238E27FC236}">
              <a16:creationId xmlns:a16="http://schemas.microsoft.com/office/drawing/2014/main" id="{CD745DE1-ABFC-45B2-88BF-4EEC559EA58E}"/>
            </a:ext>
          </a:extLst>
        </xdr:cNvPr>
        <xdr:cNvSpPr/>
      </xdr:nvSpPr>
      <xdr:spPr>
        <a:xfrm>
          <a:off x="9707789" y="4246789"/>
          <a:ext cx="1468666" cy="1087211"/>
        </a:xfrm>
        <a:prstGeom prst="rightArrowCallout">
          <a:avLst/>
        </a:prstGeom>
        <a:solidFill>
          <a:srgbClr val="16405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Over the year enter the occupancy</a:t>
          </a:r>
          <a:r>
            <a:rPr lang="en-NZ" sz="1100" baseline="0"/>
            <a:t> rates . </a:t>
          </a:r>
          <a:endParaRPr lang="en-NZ" sz="1100"/>
        </a:p>
      </xdr:txBody>
    </xdr:sp>
    <xdr:clientData/>
  </xdr:twoCellAnchor>
  <xdr:twoCellAnchor>
    <xdr:from>
      <xdr:col>26</xdr:col>
      <xdr:colOff>163286</xdr:colOff>
      <xdr:row>9</xdr:row>
      <xdr:rowOff>91440</xdr:rowOff>
    </xdr:from>
    <xdr:to>
      <xdr:col>30</xdr:col>
      <xdr:colOff>552540</xdr:colOff>
      <xdr:row>18</xdr:row>
      <xdr:rowOff>93618</xdr:rowOff>
    </xdr:to>
    <xdr:sp macro="" textlink="">
      <xdr:nvSpPr>
        <xdr:cNvPr id="19" name="Callout: Down Arrow 18">
          <a:extLst>
            <a:ext uri="{FF2B5EF4-FFF2-40B4-BE49-F238E27FC236}">
              <a16:creationId xmlns:a16="http://schemas.microsoft.com/office/drawing/2014/main" id="{93CF1928-C77C-4293-8C77-F08B454C5136}"/>
            </a:ext>
          </a:extLst>
        </xdr:cNvPr>
        <xdr:cNvSpPr/>
      </xdr:nvSpPr>
      <xdr:spPr>
        <a:xfrm>
          <a:off x="16083643" y="1683476"/>
          <a:ext cx="2838540" cy="1594213"/>
        </a:xfrm>
        <a:prstGeom prst="downArrowCallout">
          <a:avLst/>
        </a:prstGeom>
        <a:solidFill>
          <a:srgbClr val="16405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NZ" sz="1100">
              <a:solidFill>
                <a:schemeClr val="lt1"/>
              </a:solidFill>
              <a:effectLst/>
              <a:latin typeface="+mn-lt"/>
              <a:ea typeface="+mn-ea"/>
              <a:cs typeface="+mn-cs"/>
            </a:rPr>
            <a:t>The</a:t>
          </a:r>
          <a:r>
            <a:rPr lang="en-NZ" sz="1100" baseline="0">
              <a:solidFill>
                <a:schemeClr val="lt1"/>
              </a:solidFill>
              <a:effectLst/>
              <a:latin typeface="+mn-lt"/>
              <a:ea typeface="+mn-ea"/>
              <a:cs typeface="+mn-cs"/>
            </a:rPr>
            <a:t> teal columns calculate the energy and emissions intenstiy. This is the energy and emissions used per ocupancy rate and footprint. This helps benchmarking and show areas where energy might be used more.</a:t>
          </a:r>
          <a:endParaRPr lang="en-NZ">
            <a:effectLst/>
          </a:endParaRPr>
        </a:p>
      </xdr:txBody>
    </xdr:sp>
    <xdr:clientData/>
  </xdr:twoCellAnchor>
</xdr:wsDr>
</file>

<file path=xl/theme/theme1.xml><?xml version="1.0" encoding="utf-8"?>
<a:theme xmlns:a="http://schemas.openxmlformats.org/drawingml/2006/main" name="Office Theme">
  <a:themeElements>
    <a:clrScheme name="EECA Blue">
      <a:dk1>
        <a:sysClr val="windowText" lastClr="000000"/>
      </a:dk1>
      <a:lt1>
        <a:sysClr val="window" lastClr="FFFFFF"/>
      </a:lt1>
      <a:dk2>
        <a:srgbClr val="44546A"/>
      </a:dk2>
      <a:lt2>
        <a:srgbClr val="F2F2F2"/>
      </a:lt2>
      <a:accent1>
        <a:srgbClr val="164057"/>
      </a:accent1>
      <a:accent2>
        <a:srgbClr val="425970"/>
      </a:accent2>
      <a:accent3>
        <a:srgbClr val="6D7B8E"/>
      </a:accent3>
      <a:accent4>
        <a:srgbClr val="9CA2B0"/>
      </a:accent4>
      <a:accent5>
        <a:srgbClr val="CBCDD5"/>
      </a:accent5>
      <a:accent6>
        <a:srgbClr val="E8E9EC"/>
      </a:accent6>
      <a:hlink>
        <a:srgbClr val="0070C0"/>
      </a:hlink>
      <a:folHlink>
        <a:srgbClr val="7030A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environment.govt.nz/assets/publications/Measuring-Emissions-2024/Measuring-Emissions_EmissionFactors_Summary_2024_ME1830-v2.docx" TargetMode="External"/><Relationship Id="rId3" Type="http://schemas.openxmlformats.org/officeDocument/2006/relationships/hyperlink" Target="https://www.azwood.co.nz/Industrial+Energy.html" TargetMode="External"/><Relationship Id="rId7" Type="http://schemas.openxmlformats.org/officeDocument/2006/relationships/hyperlink" Target="https://environment.govt.nz/assets/publications/Measuring-Emissions-2024/Measuring-Emissions_EmissionFactors_Summary_2024_ME1830-v2.docx" TargetMode="External"/><Relationship Id="rId2" Type="http://schemas.openxmlformats.org/officeDocument/2006/relationships/hyperlink" Target="https://www.elgas.com.au/blog/389-lpg-conversions-kg-litres-mj-kwh-and-m3/" TargetMode="External"/><Relationship Id="rId1" Type="http://schemas.openxmlformats.org/officeDocument/2006/relationships/hyperlink" Target="https://www.elgas.com.au/blog/389-lpg-conversions-kg-litres-mj-kwh-and-m3/" TargetMode="External"/><Relationship Id="rId6" Type="http://schemas.openxmlformats.org/officeDocument/2006/relationships/hyperlink" Target="https://environment.govt.nz/publications/measuring-emissions-a-guide-for-organisations-2023-emission-factors-summary/" TargetMode="External"/><Relationship Id="rId5" Type="http://schemas.openxmlformats.org/officeDocument/2006/relationships/hyperlink" Target="https://ir.canterbury.ac.nz/handle/10092/11527" TargetMode="External"/><Relationship Id="rId10" Type="http://schemas.openxmlformats.org/officeDocument/2006/relationships/printerSettings" Target="../printerSettings/printerSettings3.bin"/><Relationship Id="rId4" Type="http://schemas.openxmlformats.org/officeDocument/2006/relationships/hyperlink" Target="https://cliflo.niwa.co.nz/" TargetMode="External"/><Relationship Id="rId9" Type="http://schemas.openxmlformats.org/officeDocument/2006/relationships/hyperlink" Target="https://environment.govt.nz/assets/publications/Measuring-Emissions-2024/Measuring-Emissions_EmissionFactors_Summary_2024_ME1830-v2.doc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86857-69B9-4FCC-8247-E87E5640523D}">
  <dimension ref="A1:AB30"/>
  <sheetViews>
    <sheetView workbookViewId="0">
      <selection activeCell="I35" sqref="I35"/>
    </sheetView>
  </sheetViews>
  <sheetFormatPr defaultRowHeight="14.45"/>
  <cols>
    <col min="2" max="2" width="28.5703125" customWidth="1"/>
    <col min="8" max="8" width="82.28515625" customWidth="1"/>
    <col min="14" max="14" width="20.28515625" customWidth="1"/>
  </cols>
  <sheetData>
    <row r="1" spans="1:28" ht="121.9" customHeight="1">
      <c r="A1" s="124" t="s">
        <v>0</v>
      </c>
      <c r="B1" s="176" t="s">
        <v>1</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row>
    <row r="2" spans="1:28" ht="49.9" customHeight="1">
      <c r="A2" s="125" t="s">
        <v>0</v>
      </c>
      <c r="B2" s="173" t="s">
        <v>2</v>
      </c>
      <c r="C2" s="173"/>
      <c r="D2" s="173"/>
      <c r="E2" s="173"/>
      <c r="F2" s="129" t="s">
        <v>0</v>
      </c>
      <c r="G2" s="129" t="s">
        <v>0</v>
      </c>
      <c r="H2" s="129" t="s">
        <v>0</v>
      </c>
      <c r="I2" s="129" t="s">
        <v>0</v>
      </c>
      <c r="J2" s="129" t="s">
        <v>0</v>
      </c>
      <c r="K2" s="129" t="s">
        <v>0</v>
      </c>
      <c r="L2" s="129" t="s">
        <v>0</v>
      </c>
      <c r="M2" s="129" t="s">
        <v>0</v>
      </c>
      <c r="N2" s="129" t="s">
        <v>0</v>
      </c>
      <c r="O2" s="129" t="s">
        <v>0</v>
      </c>
      <c r="P2" s="130" t="s">
        <v>0</v>
      </c>
    </row>
    <row r="3" spans="1:28">
      <c r="A3" s="125" t="s">
        <v>0</v>
      </c>
      <c r="B3" s="174" t="s">
        <v>3</v>
      </c>
      <c r="C3" s="174"/>
      <c r="D3" s="174"/>
      <c r="E3" s="174"/>
      <c r="F3" s="174"/>
      <c r="G3" s="174"/>
      <c r="H3" s="174"/>
      <c r="I3" s="174"/>
      <c r="J3" s="174"/>
      <c r="K3" s="174"/>
      <c r="L3" s="174"/>
      <c r="M3" s="174"/>
      <c r="N3" s="174"/>
      <c r="O3" s="174"/>
      <c r="P3" s="175"/>
    </row>
    <row r="4" spans="1:28">
      <c r="A4" s="125" t="s">
        <v>0</v>
      </c>
      <c r="B4" s="174"/>
      <c r="C4" s="174"/>
      <c r="D4" s="174"/>
      <c r="E4" s="174"/>
      <c r="F4" s="174"/>
      <c r="G4" s="174"/>
      <c r="H4" s="174"/>
      <c r="I4" s="174"/>
      <c r="J4" s="174"/>
      <c r="K4" s="174"/>
      <c r="L4" s="174"/>
      <c r="M4" s="174"/>
      <c r="N4" s="174"/>
      <c r="O4" s="174"/>
      <c r="P4" s="175"/>
    </row>
    <row r="5" spans="1:28">
      <c r="A5" s="125" t="s">
        <v>0</v>
      </c>
      <c r="B5" s="174"/>
      <c r="C5" s="174"/>
      <c r="D5" s="174"/>
      <c r="E5" s="174"/>
      <c r="F5" s="174"/>
      <c r="G5" s="174"/>
      <c r="H5" s="174"/>
      <c r="I5" s="174"/>
      <c r="J5" s="174"/>
      <c r="K5" s="174"/>
      <c r="L5" s="174"/>
      <c r="M5" s="174"/>
      <c r="N5" s="174"/>
      <c r="O5" s="174"/>
      <c r="P5" s="175"/>
    </row>
    <row r="6" spans="1:28" ht="37.5" customHeight="1">
      <c r="A6" s="125" t="s">
        <v>0</v>
      </c>
      <c r="B6" s="174"/>
      <c r="C6" s="174"/>
      <c r="D6" s="174"/>
      <c r="E6" s="174"/>
      <c r="F6" s="174"/>
      <c r="G6" s="174"/>
      <c r="H6" s="174"/>
      <c r="I6" s="174"/>
      <c r="J6" s="174"/>
      <c r="K6" s="174"/>
      <c r="L6" s="174"/>
      <c r="M6" s="174"/>
      <c r="N6" s="174"/>
      <c r="O6" s="174"/>
      <c r="P6" s="175"/>
    </row>
    <row r="7" spans="1:28">
      <c r="A7" s="125" t="s">
        <v>0</v>
      </c>
      <c r="B7" s="129" t="s">
        <v>0</v>
      </c>
      <c r="C7" s="129" t="s">
        <v>0</v>
      </c>
      <c r="D7" s="129" t="s">
        <v>0</v>
      </c>
      <c r="E7" s="129" t="s">
        <v>0</v>
      </c>
      <c r="F7" s="129" t="s">
        <v>0</v>
      </c>
      <c r="G7" s="129" t="s">
        <v>0</v>
      </c>
      <c r="H7" s="129" t="s">
        <v>0</v>
      </c>
      <c r="I7" s="129" t="s">
        <v>0</v>
      </c>
      <c r="J7" s="129" t="s">
        <v>0</v>
      </c>
      <c r="K7" s="129" t="s">
        <v>0</v>
      </c>
      <c r="L7" s="129" t="s">
        <v>0</v>
      </c>
      <c r="M7" s="129" t="s">
        <v>0</v>
      </c>
      <c r="N7" s="129" t="s">
        <v>0</v>
      </c>
      <c r="O7" s="187" t="s">
        <v>0</v>
      </c>
      <c r="P7" s="188"/>
    </row>
    <row r="8" spans="1:28">
      <c r="A8" s="125" t="s">
        <v>0</v>
      </c>
      <c r="B8" s="129" t="s">
        <v>0</v>
      </c>
      <c r="C8" s="129" t="s">
        <v>0</v>
      </c>
      <c r="D8" s="129" t="s">
        <v>0</v>
      </c>
      <c r="E8" s="129" t="s">
        <v>0</v>
      </c>
      <c r="F8" s="129" t="s">
        <v>0</v>
      </c>
      <c r="G8" s="129" t="s">
        <v>0</v>
      </c>
      <c r="H8" s="129" t="s">
        <v>0</v>
      </c>
      <c r="I8" s="129" t="s">
        <v>0</v>
      </c>
      <c r="J8" s="129" t="s">
        <v>0</v>
      </c>
      <c r="K8" s="129" t="s">
        <v>0</v>
      </c>
      <c r="L8" s="129" t="s">
        <v>0</v>
      </c>
      <c r="M8" s="129" t="s">
        <v>0</v>
      </c>
      <c r="N8" s="129" t="s">
        <v>0</v>
      </c>
      <c r="O8" s="187"/>
      <c r="P8" s="188"/>
    </row>
    <row r="9" spans="1:28" ht="30">
      <c r="A9" s="125" t="s">
        <v>0</v>
      </c>
      <c r="B9" s="138" t="s">
        <v>4</v>
      </c>
      <c r="C9" s="129" t="s">
        <v>0</v>
      </c>
      <c r="D9" s="129" t="s">
        <v>0</v>
      </c>
      <c r="E9" s="129" t="s">
        <v>0</v>
      </c>
      <c r="F9" s="129" t="s">
        <v>0</v>
      </c>
      <c r="G9" s="129" t="s">
        <v>0</v>
      </c>
      <c r="H9" s="129" t="s">
        <v>0</v>
      </c>
      <c r="I9" s="129" t="s">
        <v>0</v>
      </c>
      <c r="J9" s="129" t="s">
        <v>0</v>
      </c>
      <c r="K9" s="129" t="s">
        <v>0</v>
      </c>
      <c r="L9" s="129" t="s">
        <v>0</v>
      </c>
      <c r="M9" s="129" t="s">
        <v>0</v>
      </c>
      <c r="N9" s="129" t="s">
        <v>0</v>
      </c>
      <c r="O9" s="187"/>
      <c r="P9" s="188"/>
    </row>
    <row r="10" spans="1:28">
      <c r="A10" s="125" t="s">
        <v>0</v>
      </c>
      <c r="B10" s="131"/>
      <c r="C10" s="129" t="s">
        <v>0</v>
      </c>
      <c r="D10" s="129" t="s">
        <v>0</v>
      </c>
      <c r="E10" s="129" t="s">
        <v>0</v>
      </c>
      <c r="F10" s="129" t="s">
        <v>0</v>
      </c>
      <c r="G10" s="129" t="s">
        <v>0</v>
      </c>
      <c r="H10" s="129" t="s">
        <v>0</v>
      </c>
      <c r="I10" s="129" t="s">
        <v>0</v>
      </c>
      <c r="J10" s="129" t="s">
        <v>0</v>
      </c>
      <c r="K10" s="129" t="s">
        <v>0</v>
      </c>
      <c r="L10" s="129" t="s">
        <v>0</v>
      </c>
      <c r="M10" s="129" t="s">
        <v>0</v>
      </c>
      <c r="N10" s="129" t="s">
        <v>0</v>
      </c>
      <c r="O10" s="129" t="s">
        <v>0</v>
      </c>
      <c r="P10" s="130" t="s">
        <v>0</v>
      </c>
    </row>
    <row r="11" spans="1:28" ht="15.6">
      <c r="A11" s="126"/>
      <c r="B11" s="139" t="s">
        <v>5</v>
      </c>
      <c r="C11" s="141" t="s">
        <v>0</v>
      </c>
      <c r="D11" s="142" t="s">
        <v>0</v>
      </c>
      <c r="E11" s="142" t="s">
        <v>0</v>
      </c>
      <c r="F11" s="142"/>
      <c r="G11" s="142"/>
      <c r="H11" s="142"/>
      <c r="I11" s="142" t="s">
        <v>0</v>
      </c>
      <c r="J11" s="142" t="s">
        <v>0</v>
      </c>
      <c r="K11" s="142" t="s">
        <v>0</v>
      </c>
      <c r="L11" s="142" t="s">
        <v>0</v>
      </c>
      <c r="M11" s="142" t="s">
        <v>0</v>
      </c>
      <c r="N11" s="142" t="s">
        <v>0</v>
      </c>
      <c r="O11" s="142" t="s">
        <v>0</v>
      </c>
      <c r="P11" s="130" t="s">
        <v>0</v>
      </c>
    </row>
    <row r="12" spans="1:28">
      <c r="A12" s="125"/>
      <c r="B12" s="140"/>
      <c r="C12" s="143" t="s">
        <v>0</v>
      </c>
      <c r="D12" s="142"/>
      <c r="E12" s="142"/>
      <c r="F12" s="142"/>
      <c r="G12" s="142"/>
      <c r="H12" s="142"/>
      <c r="I12" s="142" t="s">
        <v>0</v>
      </c>
      <c r="J12" s="142" t="s">
        <v>0</v>
      </c>
      <c r="K12" s="142" t="s">
        <v>0</v>
      </c>
      <c r="L12" s="142" t="s">
        <v>0</v>
      </c>
      <c r="M12" s="142" t="s">
        <v>0</v>
      </c>
      <c r="N12" s="142" t="s">
        <v>0</v>
      </c>
      <c r="O12" s="142" t="s">
        <v>0</v>
      </c>
      <c r="P12" s="130" t="s">
        <v>0</v>
      </c>
    </row>
    <row r="13" spans="1:28" ht="15.6">
      <c r="A13" s="126"/>
      <c r="B13" s="139">
        <v>1</v>
      </c>
      <c r="C13" s="144" t="s">
        <v>6</v>
      </c>
      <c r="D13" s="145"/>
      <c r="E13" s="145"/>
      <c r="F13" s="145"/>
      <c r="G13" s="145"/>
      <c r="H13" s="145"/>
      <c r="I13" s="145"/>
      <c r="J13" s="145" t="s">
        <v>0</v>
      </c>
      <c r="K13" s="145" t="s">
        <v>0</v>
      </c>
      <c r="L13" s="145" t="s">
        <v>0</v>
      </c>
      <c r="M13" s="145" t="s">
        <v>0</v>
      </c>
      <c r="N13" s="145" t="s">
        <v>0</v>
      </c>
      <c r="O13" s="145" t="s">
        <v>0</v>
      </c>
      <c r="P13" s="133" t="s">
        <v>0</v>
      </c>
    </row>
    <row r="14" spans="1:28" ht="15.6">
      <c r="A14" s="126"/>
      <c r="B14" s="139"/>
      <c r="C14" s="144" t="s">
        <v>0</v>
      </c>
      <c r="D14" s="145"/>
      <c r="E14" s="145"/>
      <c r="F14" s="145"/>
      <c r="G14" s="145"/>
      <c r="H14" s="145"/>
      <c r="I14" s="145" t="s">
        <v>0</v>
      </c>
      <c r="J14" s="145" t="s">
        <v>0</v>
      </c>
      <c r="K14" s="145" t="s">
        <v>0</v>
      </c>
      <c r="L14" s="145" t="s">
        <v>0</v>
      </c>
      <c r="M14" s="145" t="s">
        <v>0</v>
      </c>
      <c r="N14" s="145" t="s">
        <v>0</v>
      </c>
      <c r="O14" s="145" t="s">
        <v>0</v>
      </c>
      <c r="P14" s="133" t="s">
        <v>0</v>
      </c>
    </row>
    <row r="15" spans="1:28" ht="15.6">
      <c r="A15" s="126"/>
      <c r="B15" s="139">
        <v>2</v>
      </c>
      <c r="C15" s="144" t="s">
        <v>7</v>
      </c>
      <c r="D15" s="145"/>
      <c r="E15" s="145"/>
      <c r="F15" s="145"/>
      <c r="G15" s="145"/>
      <c r="H15" s="145"/>
      <c r="I15" s="145"/>
      <c r="J15" s="145"/>
      <c r="K15" s="145"/>
      <c r="L15" s="145"/>
      <c r="M15" s="145"/>
      <c r="N15" s="145"/>
      <c r="O15" s="145"/>
      <c r="P15" s="133"/>
    </row>
    <row r="16" spans="1:28" ht="15.6">
      <c r="A16" s="126"/>
      <c r="B16" s="139"/>
      <c r="C16" s="146" t="s">
        <v>8</v>
      </c>
      <c r="D16" s="147"/>
      <c r="E16" s="147"/>
      <c r="F16" s="147"/>
      <c r="G16" s="147"/>
      <c r="H16" s="147"/>
      <c r="I16" s="147"/>
      <c r="J16" s="147"/>
      <c r="K16" s="145" t="s">
        <v>0</v>
      </c>
      <c r="L16" s="145" t="s">
        <v>0</v>
      </c>
      <c r="M16" s="145" t="s">
        <v>0</v>
      </c>
      <c r="N16" s="145" t="s">
        <v>0</v>
      </c>
      <c r="O16" s="145" t="s">
        <v>0</v>
      </c>
      <c r="P16" s="133" t="s">
        <v>0</v>
      </c>
    </row>
    <row r="17" spans="1:16" ht="15.6">
      <c r="A17" s="126"/>
      <c r="B17" s="139"/>
      <c r="C17" s="144" t="s">
        <v>0</v>
      </c>
      <c r="D17" s="145"/>
      <c r="E17" s="145"/>
      <c r="F17" s="145"/>
      <c r="G17" s="145"/>
      <c r="H17" s="145"/>
      <c r="I17" s="145" t="s">
        <v>0</v>
      </c>
      <c r="J17" s="145" t="s">
        <v>0</v>
      </c>
      <c r="K17" s="145" t="s">
        <v>0</v>
      </c>
      <c r="L17" s="145" t="s">
        <v>0</v>
      </c>
      <c r="M17" s="145" t="s">
        <v>0</v>
      </c>
      <c r="N17" s="145" t="s">
        <v>0</v>
      </c>
      <c r="O17" s="145" t="s">
        <v>0</v>
      </c>
      <c r="P17" s="133" t="s">
        <v>0</v>
      </c>
    </row>
    <row r="18" spans="1:16" ht="15.6">
      <c r="A18" s="126"/>
      <c r="B18" s="139">
        <v>3</v>
      </c>
      <c r="C18" s="144" t="s">
        <v>9</v>
      </c>
      <c r="D18" s="145"/>
      <c r="E18" s="145"/>
      <c r="F18" s="145"/>
      <c r="G18" s="145"/>
      <c r="H18" s="145"/>
      <c r="I18" s="145" t="s">
        <v>0</v>
      </c>
      <c r="J18" s="145" t="s">
        <v>0</v>
      </c>
      <c r="K18" s="145" t="s">
        <v>0</v>
      </c>
      <c r="L18" s="145" t="s">
        <v>0</v>
      </c>
      <c r="M18" s="145" t="s">
        <v>0</v>
      </c>
      <c r="N18" s="145" t="s">
        <v>0</v>
      </c>
      <c r="O18" s="145" t="s">
        <v>0</v>
      </c>
      <c r="P18" s="133" t="s">
        <v>0</v>
      </c>
    </row>
    <row r="19" spans="1:16" ht="15.6">
      <c r="A19" s="126"/>
      <c r="B19" s="139"/>
      <c r="C19" s="144" t="s">
        <v>10</v>
      </c>
      <c r="D19" s="145"/>
      <c r="E19" s="145"/>
      <c r="F19" s="145"/>
      <c r="G19" s="145"/>
      <c r="H19" s="145"/>
      <c r="I19" s="145" t="s">
        <v>0</v>
      </c>
      <c r="J19" s="145" t="s">
        <v>0</v>
      </c>
      <c r="K19" s="145" t="s">
        <v>0</v>
      </c>
      <c r="L19" s="145" t="s">
        <v>0</v>
      </c>
      <c r="M19" s="145" t="s">
        <v>0</v>
      </c>
      <c r="N19" s="145" t="s">
        <v>0</v>
      </c>
      <c r="O19" s="145" t="s">
        <v>0</v>
      </c>
      <c r="P19" s="133" t="s">
        <v>0</v>
      </c>
    </row>
    <row r="20" spans="1:16" ht="15.6">
      <c r="A20" s="126"/>
      <c r="B20" s="139"/>
      <c r="C20" s="144" t="s">
        <v>11</v>
      </c>
      <c r="D20" s="145"/>
      <c r="E20" s="145"/>
      <c r="F20" s="145"/>
      <c r="G20" s="145"/>
      <c r="H20" s="145"/>
      <c r="I20" s="145" t="s">
        <v>0</v>
      </c>
      <c r="J20" s="145" t="s">
        <v>0</v>
      </c>
      <c r="K20" s="145" t="s">
        <v>0</v>
      </c>
      <c r="L20" s="145" t="s">
        <v>0</v>
      </c>
      <c r="M20" s="145" t="s">
        <v>0</v>
      </c>
      <c r="N20" s="145" t="s">
        <v>0</v>
      </c>
      <c r="O20" s="145" t="s">
        <v>0</v>
      </c>
      <c r="P20" s="133" t="s">
        <v>0</v>
      </c>
    </row>
    <row r="21" spans="1:16" ht="15.6">
      <c r="A21" s="126"/>
      <c r="B21" s="139"/>
      <c r="C21" s="144" t="s">
        <v>0</v>
      </c>
      <c r="D21" s="145"/>
      <c r="E21" s="145"/>
      <c r="F21" s="145"/>
      <c r="G21" s="145"/>
      <c r="H21" s="145"/>
      <c r="I21" s="145" t="s">
        <v>0</v>
      </c>
      <c r="J21" s="145" t="s">
        <v>0</v>
      </c>
      <c r="K21" s="145" t="s">
        <v>0</v>
      </c>
      <c r="L21" s="145" t="s">
        <v>0</v>
      </c>
      <c r="M21" s="145" t="s">
        <v>0</v>
      </c>
      <c r="N21" s="145" t="s">
        <v>0</v>
      </c>
      <c r="O21" s="145" t="s">
        <v>0</v>
      </c>
      <c r="P21" s="133" t="s">
        <v>0</v>
      </c>
    </row>
    <row r="22" spans="1:16" ht="15.6">
      <c r="A22" s="126"/>
      <c r="B22" s="139">
        <v>4</v>
      </c>
      <c r="C22" s="144" t="s">
        <v>12</v>
      </c>
      <c r="D22" s="145"/>
      <c r="E22" s="145"/>
      <c r="F22" s="145"/>
      <c r="G22" s="145"/>
      <c r="H22" s="145"/>
      <c r="I22" s="145" t="s">
        <v>0</v>
      </c>
      <c r="J22" s="145" t="s">
        <v>0</v>
      </c>
      <c r="K22" s="145" t="s">
        <v>0</v>
      </c>
      <c r="L22" s="145" t="s">
        <v>0</v>
      </c>
      <c r="M22" s="145" t="s">
        <v>0</v>
      </c>
      <c r="N22" s="148" t="s">
        <v>13</v>
      </c>
      <c r="O22" s="145" t="s">
        <v>0</v>
      </c>
      <c r="P22" s="133" t="s">
        <v>0</v>
      </c>
    </row>
    <row r="23" spans="1:16">
      <c r="A23" s="125"/>
      <c r="B23" s="140"/>
      <c r="C23" s="144" t="s">
        <v>14</v>
      </c>
      <c r="D23" s="145"/>
      <c r="E23" s="145"/>
      <c r="F23" s="145"/>
      <c r="G23" s="145"/>
      <c r="H23" s="145"/>
      <c r="I23" s="145" t="s">
        <v>0</v>
      </c>
      <c r="J23" s="145" t="s">
        <v>0</v>
      </c>
      <c r="K23" s="145" t="s">
        <v>0</v>
      </c>
      <c r="L23" s="145" t="s">
        <v>0</v>
      </c>
      <c r="M23" s="145" t="s">
        <v>0</v>
      </c>
      <c r="N23" s="134" t="s">
        <v>15</v>
      </c>
      <c r="O23" s="145" t="s">
        <v>0</v>
      </c>
      <c r="P23" s="133" t="s">
        <v>0</v>
      </c>
    </row>
    <row r="24" spans="1:16">
      <c r="A24" s="125"/>
      <c r="B24" s="140"/>
      <c r="C24" s="144" t="s">
        <v>0</v>
      </c>
      <c r="D24" s="145"/>
      <c r="E24" s="145"/>
      <c r="F24" s="145"/>
      <c r="G24" s="145"/>
      <c r="H24" s="145"/>
      <c r="I24" s="145" t="s">
        <v>0</v>
      </c>
      <c r="J24" s="145" t="s">
        <v>0</v>
      </c>
      <c r="K24" s="145" t="s">
        <v>0</v>
      </c>
      <c r="L24" s="145" t="s">
        <v>0</v>
      </c>
      <c r="M24" s="145" t="s">
        <v>0</v>
      </c>
      <c r="N24" s="135" t="s">
        <v>16</v>
      </c>
      <c r="O24" s="145" t="s">
        <v>0</v>
      </c>
      <c r="P24" s="133" t="s">
        <v>0</v>
      </c>
    </row>
    <row r="25" spans="1:16">
      <c r="A25" s="125"/>
      <c r="B25" s="140"/>
      <c r="C25" s="149" t="s">
        <v>17</v>
      </c>
      <c r="D25" s="145"/>
      <c r="E25" s="145"/>
      <c r="F25" s="145"/>
      <c r="G25" s="145"/>
      <c r="H25" s="145"/>
      <c r="I25" s="145" t="s">
        <v>0</v>
      </c>
      <c r="J25" s="145" t="s">
        <v>0</v>
      </c>
      <c r="K25" s="145" t="s">
        <v>0</v>
      </c>
      <c r="L25" s="145" t="s">
        <v>0</v>
      </c>
      <c r="M25" s="145" t="s">
        <v>0</v>
      </c>
      <c r="N25" s="136" t="s">
        <v>18</v>
      </c>
      <c r="O25" s="145" t="s">
        <v>0</v>
      </c>
      <c r="P25" s="133" t="s">
        <v>0</v>
      </c>
    </row>
    <row r="26" spans="1:16">
      <c r="A26" s="125"/>
      <c r="B26" s="140"/>
      <c r="C26" s="144" t="s">
        <v>19</v>
      </c>
      <c r="D26" s="145"/>
      <c r="E26" s="145"/>
      <c r="F26" s="145"/>
      <c r="G26" s="145"/>
      <c r="H26" s="145"/>
      <c r="I26" s="145" t="s">
        <v>0</v>
      </c>
      <c r="J26" s="145" t="s">
        <v>0</v>
      </c>
      <c r="K26" s="145" t="s">
        <v>0</v>
      </c>
      <c r="L26" s="145" t="s">
        <v>0</v>
      </c>
      <c r="M26" s="145" t="s">
        <v>0</v>
      </c>
      <c r="N26" s="145" t="s">
        <v>0</v>
      </c>
      <c r="O26" s="145" t="s">
        <v>0</v>
      </c>
      <c r="P26" s="133" t="s">
        <v>0</v>
      </c>
    </row>
    <row r="27" spans="1:16">
      <c r="A27" s="125"/>
      <c r="B27" s="140"/>
      <c r="C27" s="149" t="s">
        <v>20</v>
      </c>
      <c r="D27" s="150"/>
      <c r="E27" s="150"/>
      <c r="F27" s="145"/>
      <c r="G27" s="145"/>
      <c r="H27" s="145"/>
      <c r="I27" s="145" t="s">
        <v>0</v>
      </c>
      <c r="J27" s="145" t="s">
        <v>0</v>
      </c>
      <c r="K27" s="145" t="s">
        <v>0</v>
      </c>
      <c r="L27" s="145" t="s">
        <v>0</v>
      </c>
      <c r="M27" s="145" t="s">
        <v>0</v>
      </c>
      <c r="N27" s="145" t="s">
        <v>0</v>
      </c>
      <c r="O27" s="145" t="s">
        <v>0</v>
      </c>
      <c r="P27" s="133" t="s">
        <v>0</v>
      </c>
    </row>
    <row r="28" spans="1:16">
      <c r="A28" s="125"/>
      <c r="B28" s="140"/>
      <c r="C28" s="149"/>
      <c r="D28" s="150"/>
      <c r="E28" s="150"/>
      <c r="F28" s="145"/>
      <c r="G28" s="145"/>
      <c r="H28" s="145"/>
      <c r="I28" s="145"/>
      <c r="J28" s="145"/>
      <c r="K28" s="145"/>
      <c r="L28" s="145"/>
      <c r="M28" s="145"/>
      <c r="N28" s="145"/>
      <c r="O28" s="145"/>
      <c r="P28" s="133"/>
    </row>
    <row r="29" spans="1:16">
      <c r="A29" s="125" t="s">
        <v>0</v>
      </c>
      <c r="B29" s="132" t="s">
        <v>0</v>
      </c>
      <c r="C29" s="132" t="s">
        <v>0</v>
      </c>
      <c r="D29" s="132" t="s">
        <v>0</v>
      </c>
      <c r="E29" s="132" t="s">
        <v>0</v>
      </c>
      <c r="F29" s="132" t="s">
        <v>0</v>
      </c>
      <c r="G29" s="132" t="s">
        <v>0</v>
      </c>
      <c r="H29" s="132" t="s">
        <v>0</v>
      </c>
      <c r="I29" s="132" t="s">
        <v>0</v>
      </c>
      <c r="J29" s="132" t="s">
        <v>0</v>
      </c>
      <c r="K29" s="132" t="s">
        <v>0</v>
      </c>
      <c r="L29" s="132" t="s">
        <v>0</v>
      </c>
      <c r="M29" s="132" t="s">
        <v>0</v>
      </c>
      <c r="N29" s="132" t="s">
        <v>0</v>
      </c>
      <c r="O29" s="132" t="s">
        <v>0</v>
      </c>
      <c r="P29" s="133" t="s">
        <v>0</v>
      </c>
    </row>
    <row r="30" spans="1:16" ht="15" thickBot="1">
      <c r="A30" s="127" t="s">
        <v>0</v>
      </c>
      <c r="B30" s="128" t="s">
        <v>0</v>
      </c>
      <c r="C30" s="128" t="s">
        <v>0</v>
      </c>
      <c r="D30" s="128" t="s">
        <v>0</v>
      </c>
      <c r="E30" s="128" t="s">
        <v>0</v>
      </c>
      <c r="F30" s="128" t="s">
        <v>0</v>
      </c>
      <c r="G30" s="128" t="s">
        <v>0</v>
      </c>
      <c r="H30" s="128" t="s">
        <v>0</v>
      </c>
      <c r="I30" s="128" t="s">
        <v>0</v>
      </c>
      <c r="J30" s="128" t="s">
        <v>0</v>
      </c>
      <c r="K30" s="128" t="s">
        <v>0</v>
      </c>
      <c r="L30" s="128" t="s">
        <v>0</v>
      </c>
      <c r="M30" s="128" t="s">
        <v>0</v>
      </c>
      <c r="N30" s="128" t="s">
        <v>0</v>
      </c>
      <c r="O30" s="128" t="s">
        <v>0</v>
      </c>
      <c r="P30" s="137" t="s">
        <v>0</v>
      </c>
    </row>
  </sheetData>
  <mergeCells count="4">
    <mergeCell ref="B2:E2"/>
    <mergeCell ref="B3:P6"/>
    <mergeCell ref="O7:P9"/>
    <mergeCell ref="B1:AB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81"/>
  <sheetViews>
    <sheetView showGridLines="0" tabSelected="1" topLeftCell="A2" zoomScale="115" zoomScaleNormal="115" workbookViewId="0">
      <selection activeCell="D20" sqref="D20"/>
    </sheetView>
  </sheetViews>
  <sheetFormatPr defaultColWidth="0" defaultRowHeight="15" zeroHeight="1"/>
  <cols>
    <col min="1" max="1" width="9.140625" style="1" customWidth="1"/>
    <col min="2" max="2" width="11.42578125" style="1" bestFit="1" customWidth="1"/>
    <col min="3" max="5" width="21.42578125" style="1" customWidth="1"/>
    <col min="6" max="6" width="18.85546875" style="1" customWidth="1"/>
    <col min="7" max="7" width="20" style="1" customWidth="1"/>
    <col min="8" max="8" width="18.85546875" style="1" customWidth="1"/>
    <col min="9" max="14" width="17.140625" style="1" customWidth="1"/>
    <col min="15" max="15" width="15.85546875" style="1" bestFit="1" customWidth="1"/>
    <col min="16" max="16" width="7.140625" style="1" hidden="1" customWidth="1"/>
    <col min="17" max="17" width="12" style="1" hidden="1" customWidth="1"/>
    <col min="18" max="18" width="11.5703125" style="77" hidden="1" customWidth="1"/>
    <col min="19" max="20" width="7.140625" style="1" hidden="1" customWidth="1"/>
    <col min="21" max="23" width="11.42578125" style="1" hidden="1" customWidth="1"/>
    <col min="24" max="24" width="7.140625" style="1" hidden="1" customWidth="1"/>
    <col min="25" max="25" width="11.5703125" style="1" hidden="1" customWidth="1"/>
    <col min="26" max="26" width="9.140625" hidden="1" customWidth="1"/>
    <col min="27" max="27" width="9.140625" style="1" hidden="1" customWidth="1"/>
    <col min="28" max="28" width="11.42578125" style="1" hidden="1" customWidth="1"/>
    <col min="29" max="29" width="10.7109375" style="1" hidden="1" customWidth="1"/>
    <col min="30" max="32" width="9.140625" style="1" hidden="1" customWidth="1"/>
    <col min="33" max="33" width="9.5703125" style="1" hidden="1" customWidth="1"/>
    <col min="34" max="39" width="9.140625" style="1" hidden="1" customWidth="1"/>
    <col min="40" max="40" width="10" style="1" hidden="1" customWidth="1"/>
    <col min="41" max="41" width="9.140625" style="1" hidden="1" customWidth="1"/>
    <col min="42" max="42" width="8.28515625" style="1" hidden="1" customWidth="1"/>
    <col min="43" max="43" width="6.7109375" style="1" hidden="1" customWidth="1"/>
    <col min="44" max="44" width="7.85546875" style="1" hidden="1" customWidth="1"/>
    <col min="45" max="45" width="8.42578125" style="1" hidden="1" customWidth="1"/>
    <col min="46" max="46" width="10.28515625" style="1" hidden="1" customWidth="1"/>
    <col min="47" max="47" width="10.7109375" style="1" hidden="1" customWidth="1"/>
    <col min="48" max="48" width="12.42578125" style="1" hidden="1" customWidth="1"/>
    <col min="49" max="50" width="10.85546875" style="1" hidden="1" customWidth="1"/>
    <col min="51" max="51" width="8.5703125" style="1" hidden="1" customWidth="1"/>
    <col min="52" max="52" width="12.140625" style="1" hidden="1" customWidth="1"/>
    <col min="53" max="53" width="10.42578125" style="1" hidden="1" customWidth="1"/>
    <col min="54" max="16384" width="9.140625" style="1" hidden="1"/>
  </cols>
  <sheetData>
    <row r="1" spans="1:27 16384:16384" customFormat="1" ht="121.9" customHeight="1">
      <c r="A1" s="124" t="s">
        <v>0</v>
      </c>
      <c r="B1" s="176" t="str">
        <f>"Energy Calculations for: "&amp;'Energy Calculator'!$C$11</f>
        <v>Energy Calculations for: Hotel 1</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XFD1" s="172"/>
    </row>
    <row r="2" spans="1:27 16384:16384">
      <c r="Z2" s="1"/>
    </row>
    <row r="3" spans="1:27 16384:16384">
      <c r="Z3" s="1"/>
    </row>
    <row r="4" spans="1:27 16384:16384" ht="18.75" customHeight="1">
      <c r="C4" s="151" t="s">
        <v>21</v>
      </c>
      <c r="D4" s="89"/>
      <c r="G4" s="178" t="s">
        <v>22</v>
      </c>
      <c r="H4" s="178"/>
      <c r="I4" s="178"/>
      <c r="J4" s="178"/>
      <c r="K4" s="178"/>
      <c r="L4" s="178"/>
      <c r="M4" s="178"/>
      <c r="N4" s="178"/>
      <c r="O4" s="91"/>
      <c r="P4" s="91"/>
      <c r="Z4" s="1"/>
    </row>
    <row r="5" spans="1:27 16384:16384" ht="18.75" customHeight="1">
      <c r="C5" s="152" t="s">
        <v>23</v>
      </c>
      <c r="D5" s="90"/>
      <c r="G5" s="178"/>
      <c r="H5" s="178"/>
      <c r="I5" s="178"/>
      <c r="J5" s="178"/>
      <c r="K5" s="178"/>
      <c r="L5" s="178"/>
      <c r="M5" s="178"/>
      <c r="N5" s="178"/>
      <c r="O5" s="91"/>
      <c r="P5" s="91"/>
      <c r="Z5" s="1"/>
    </row>
    <row r="6" spans="1:27 16384:16384" ht="18.75" customHeight="1">
      <c r="C6" s="153" t="s">
        <v>24</v>
      </c>
      <c r="D6" s="90"/>
      <c r="G6" s="178"/>
      <c r="H6" s="178"/>
      <c r="I6" s="178"/>
      <c r="J6" s="178"/>
      <c r="K6" s="178"/>
      <c r="L6" s="178"/>
      <c r="M6" s="178"/>
      <c r="N6" s="178"/>
      <c r="O6" s="91"/>
      <c r="P6" s="91"/>
      <c r="Z6" s="1"/>
    </row>
    <row r="7" spans="1:27 16384:16384">
      <c r="G7" s="91"/>
      <c r="H7" s="91"/>
      <c r="I7" s="91"/>
      <c r="J7" s="91"/>
      <c r="K7" s="91"/>
      <c r="L7" s="91"/>
      <c r="M7" s="91"/>
      <c r="N7" s="91"/>
      <c r="Z7" s="1"/>
    </row>
    <row r="8" spans="1:27 16384:16384">
      <c r="C8"/>
      <c r="D8"/>
      <c r="E8"/>
      <c r="G8" s="91"/>
      <c r="H8" s="91"/>
      <c r="I8" s="91"/>
      <c r="J8" s="91"/>
      <c r="K8" s="91"/>
      <c r="L8" s="91"/>
      <c r="Z8" s="1"/>
    </row>
    <row r="9" spans="1:27 16384:16384" ht="22.5" customHeight="1">
      <c r="C9" s="183" t="s">
        <v>25</v>
      </c>
      <c r="D9" s="183"/>
      <c r="E9" s="183"/>
      <c r="F9" s="78"/>
    </row>
    <row r="10" spans="1:27 16384:16384" ht="18.75" customHeight="1">
      <c r="C10" s="102" t="s">
        <v>26</v>
      </c>
      <c r="D10" s="103" t="s">
        <v>27</v>
      </c>
      <c r="E10" s="101" t="s">
        <v>28</v>
      </c>
    </row>
    <row r="11" spans="1:27 16384:16384" ht="33.75" customHeight="1">
      <c r="B11" s="94"/>
      <c r="C11" s="154" t="s">
        <v>29</v>
      </c>
      <c r="D11" s="155">
        <v>44927</v>
      </c>
      <c r="E11" s="156" t="s">
        <v>30</v>
      </c>
    </row>
    <row r="12" spans="1:27 16384:16384">
      <c r="B12" s="79"/>
    </row>
    <row r="13" spans="1:27 16384:16384">
      <c r="B13" s="79"/>
    </row>
    <row r="14" spans="1:27 16384:16384" ht="22.5" customHeight="1">
      <c r="B14" s="79"/>
      <c r="C14" s="183" t="s">
        <v>31</v>
      </c>
      <c r="D14" s="183"/>
      <c r="E14" s="183"/>
    </row>
    <row r="15" spans="1:27 16384:16384" ht="15.75" customHeight="1">
      <c r="B15" s="79"/>
      <c r="C15" s="1" t="s">
        <v>32</v>
      </c>
      <c r="D15" s="110"/>
      <c r="E15" s="95"/>
    </row>
    <row r="16" spans="1:27 16384:16384">
      <c r="L16" s="77"/>
    </row>
    <row r="17" spans="2:18" ht="44.45">
      <c r="C17" s="179" t="s">
        <v>33</v>
      </c>
      <c r="D17" s="184"/>
      <c r="E17" s="184"/>
      <c r="F17" s="184"/>
      <c r="G17" s="184"/>
      <c r="H17" s="184"/>
      <c r="I17" s="180"/>
      <c r="L17" s="114" t="s">
        <v>34</v>
      </c>
    </row>
    <row r="18" spans="2:18" ht="18.75" customHeight="1">
      <c r="C18" s="96" t="s">
        <v>35</v>
      </c>
      <c r="D18" s="102" t="s">
        <v>36</v>
      </c>
      <c r="E18" s="115" t="s">
        <v>37</v>
      </c>
      <c r="F18" s="96" t="s">
        <v>38</v>
      </c>
      <c r="G18" s="96" t="s">
        <v>39</v>
      </c>
      <c r="H18" s="96" t="s">
        <v>40</v>
      </c>
      <c r="I18" s="98" t="s">
        <v>41</v>
      </c>
      <c r="L18" s="104" t="s">
        <v>42</v>
      </c>
    </row>
    <row r="19" spans="2:18" ht="18.75" customHeight="1">
      <c r="C19" s="109"/>
      <c r="D19" s="185" t="s">
        <v>43</v>
      </c>
      <c r="E19" s="186"/>
      <c r="F19" s="99"/>
      <c r="G19" s="185" t="s">
        <v>44</v>
      </c>
      <c r="H19" s="186"/>
      <c r="I19" s="99"/>
      <c r="L19" s="105"/>
    </row>
    <row r="20" spans="2:18" ht="18.75" customHeight="1">
      <c r="C20" s="97"/>
      <c r="D20" s="163" t="s">
        <v>45</v>
      </c>
      <c r="E20" s="164" t="s">
        <v>45</v>
      </c>
      <c r="F20" s="100"/>
      <c r="G20" s="165" t="s">
        <v>46</v>
      </c>
      <c r="H20" s="165" t="s">
        <v>47</v>
      </c>
      <c r="I20" s="100"/>
      <c r="L20" s="106"/>
    </row>
    <row r="21" spans="2:18" ht="18.75" customHeight="1">
      <c r="B21" s="82">
        <f t="shared" ref="B21:B32" si="0">B45</f>
        <v>44927</v>
      </c>
      <c r="C21" s="157">
        <v>15000</v>
      </c>
      <c r="D21" s="157">
        <v>200</v>
      </c>
      <c r="E21" s="157"/>
      <c r="F21" s="157"/>
      <c r="G21" s="157"/>
      <c r="H21" s="157"/>
      <c r="I21" s="162" cm="1">
        <f t="array" ref="I21">C21 + IF($D$20="(GJ)",D21*Parameters!$C$4, D21) +_xlfn.IFS($E$20 ="(GJ)",E21*Parameters!$C$4,$E$20="(L)",E21*Parameters!$C$5,$E$20="(kg)",E21*Parameters!$C$6,1,E21) + F21*Parameters!$C$7 + G21*_xlfn.XLOOKUP($G$20,Parameters!$C$15:$F$15,Parameters!$C$16:$F$16) + H21*_xlfn.XLOOKUP($H$20,Parameters!$C$19:$G$19,Parameters!$C$21:$G$21)</f>
        <v>70555.555555555562</v>
      </c>
      <c r="J21" s="120"/>
      <c r="K21" s="121">
        <f t="shared" ref="K21:K32" si="1">B45</f>
        <v>44927</v>
      </c>
      <c r="L21" s="166" cm="1">
        <f t="array" ref="L21">(C21*Parameters!$C$10+ IF($D$20="(GJ)",D21*Parameters!$C$4, D21)*Parameters!$C$11+_xlfn.IFS($E$20 ="(GJ)",E21*Parameters!$C$4,$E$20="(L)",E21*Parameters!$C$5,$E$20="(kg)",E21*Parameters!$C$6,1,E21)*Parameters!$C$12+F21*Parameters!$C$7*Parameters!$C$13+G21*_xlfn.XLOOKUP($G$20,Parameters!$C$15:$F$15,Parameters!$C$17:$F$17)+H21*_xlfn.XLOOKUP($H$20,Parameters!$C$19:$G$19,Parameters!$C$22:$G$22))*1000</f>
        <v>12758.5</v>
      </c>
      <c r="Q21" s="77"/>
      <c r="R21" s="1"/>
    </row>
    <row r="22" spans="2:18" ht="18.75" customHeight="1">
      <c r="B22" s="82">
        <f t="shared" si="0"/>
        <v>44958</v>
      </c>
      <c r="C22" s="157">
        <v>15000</v>
      </c>
      <c r="D22" s="157">
        <v>200</v>
      </c>
      <c r="E22" s="157"/>
      <c r="F22" s="157"/>
      <c r="G22" s="157"/>
      <c r="H22" s="157"/>
      <c r="I22" s="162" cm="1">
        <f t="array" ref="I22">C22 + IF($D$20="(GJ)",D22*Parameters!$C$4, D22) +_xlfn.IFS($E$20 ="(GJ)",E22*Parameters!$C$4,$E$20="(L)",E22*Parameters!$C$5,$E$20="(kg)",E22*Parameters!$C$6,1,E22) + F22*Parameters!$C$7 + G22*_xlfn.XLOOKUP($G$20,Parameters!$C$15:$F$15,Parameters!$C$16:$F$16) + H22*_xlfn.XLOOKUP($H$20,Parameters!$C$19:$G$19,Parameters!$C$21:$G$21)</f>
        <v>70555.555555555562</v>
      </c>
      <c r="J22" s="120"/>
      <c r="K22" s="121">
        <f t="shared" si="1"/>
        <v>44958</v>
      </c>
      <c r="L22" s="166" cm="1">
        <f t="array" ref="L22">(C22*Parameters!$C$10+ IF($D$20="(GJ)",D22*Parameters!$C$4, D22)*Parameters!$C$11+_xlfn.IFS($E$20 ="(GJ)",E22*Parameters!$C$4,$E$20="(L)",E22*Parameters!$C$5,$E$20="(kg)",E22*Parameters!$C$6,1,E22)*Parameters!$C$12+F22*Parameters!$C$7*Parameters!$C$13+G22*_xlfn.XLOOKUP($G$20,Parameters!$C$15:$F$15,Parameters!$C$17:$F$17)+H22*_xlfn.XLOOKUP($H$20,Parameters!$C$19:$G$19,Parameters!$C$22:$G$22))*1000</f>
        <v>12758.5</v>
      </c>
      <c r="Q22" s="77"/>
      <c r="R22" s="1"/>
    </row>
    <row r="23" spans="2:18" ht="18.75" customHeight="1">
      <c r="B23" s="82">
        <f t="shared" si="0"/>
        <v>44986</v>
      </c>
      <c r="C23" s="157">
        <v>10000</v>
      </c>
      <c r="D23" s="157">
        <v>300</v>
      </c>
      <c r="E23" s="157"/>
      <c r="F23" s="157"/>
      <c r="G23" s="157"/>
      <c r="H23" s="157"/>
      <c r="I23" s="162" cm="1">
        <f t="array" ref="I23">C23 + IF($D$20="(GJ)",D23*Parameters!$C$4, D23) +_xlfn.IFS($E$20 ="(GJ)",E23*Parameters!$C$4,$E$20="(L)",E23*Parameters!$C$5,$E$20="(kg)",E23*Parameters!$C$6,1,E23) + F23*Parameters!$C$7 + G23*_xlfn.XLOOKUP($G$20,Parameters!$C$15:$F$15,Parameters!$C$16:$F$16) + H23*_xlfn.XLOOKUP($H$20,Parameters!$C$19:$G$19,Parameters!$C$21:$G$21)</f>
        <v>93333.333333333328</v>
      </c>
      <c r="J23" s="120"/>
      <c r="K23" s="121">
        <f t="shared" si="1"/>
        <v>44986</v>
      </c>
      <c r="L23" s="166" cm="1">
        <f t="array" ref="L23">(C23*Parameters!$C$10+ IF($D$20="(GJ)",D23*Parameters!$C$4, D23)*Parameters!$C$11+_xlfn.IFS($E$20 ="(GJ)",E23*Parameters!$C$4,$E$20="(L)",E23*Parameters!$C$5,$E$20="(kg)",E23*Parameters!$C$6,1,E23)*Parameters!$C$12+F23*Parameters!$C$7*Parameters!$C$13+G23*_xlfn.XLOOKUP($G$20,Parameters!$C$15:$F$15,Parameters!$C$17:$F$17)+H23*_xlfn.XLOOKUP($H$20,Parameters!$C$19:$G$19,Parameters!$C$22:$G$22))*1000</f>
        <v>18089</v>
      </c>
      <c r="M23" s="119"/>
      <c r="Q23" s="77"/>
      <c r="R23" s="1"/>
    </row>
    <row r="24" spans="2:18" ht="18.75" customHeight="1">
      <c r="B24" s="82">
        <f t="shared" si="0"/>
        <v>45017</v>
      </c>
      <c r="C24" s="157">
        <v>10000</v>
      </c>
      <c r="D24" s="157">
        <v>300</v>
      </c>
      <c r="E24" s="157"/>
      <c r="F24" s="157"/>
      <c r="G24" s="157"/>
      <c r="H24" s="157"/>
      <c r="I24" s="162" cm="1">
        <f t="array" ref="I24">C24 + IF($D$20="(GJ)",D24*Parameters!$C$4, D24) +_xlfn.IFS($E$20 ="(GJ)",E24*Parameters!$C$4,$E$20="(L)",E24*Parameters!$C$5,$E$20="(kg)",E24*Parameters!$C$6,1,E24) + F24*Parameters!$C$7 + G24*_xlfn.XLOOKUP($G$20,Parameters!$C$15:$F$15,Parameters!$C$16:$F$16) + H24*_xlfn.XLOOKUP($H$20,Parameters!$C$19:$G$19,Parameters!$C$21:$G$21)</f>
        <v>93333.333333333328</v>
      </c>
      <c r="J24" s="120"/>
      <c r="K24" s="121">
        <f t="shared" si="1"/>
        <v>45017</v>
      </c>
      <c r="L24" s="166" cm="1">
        <f t="array" ref="L24">(C24*Parameters!$C$10+ IF($D$20="(GJ)",D24*Parameters!$C$4, D24)*Parameters!$C$11+_xlfn.IFS($E$20 ="(GJ)",E24*Parameters!$C$4,$E$20="(L)",E24*Parameters!$C$5,$E$20="(kg)",E24*Parameters!$C$6,1,E24)*Parameters!$C$12+F24*Parameters!$C$7*Parameters!$C$13+G24*_xlfn.XLOOKUP($G$20,Parameters!$C$15:$F$15,Parameters!$C$17:$F$17)+H24*_xlfn.XLOOKUP($H$20,Parameters!$C$19:$G$19,Parameters!$C$22:$G$22))*1000</f>
        <v>18089</v>
      </c>
      <c r="Q24" s="77"/>
      <c r="R24" s="1"/>
    </row>
    <row r="25" spans="2:18" ht="18.75" customHeight="1">
      <c r="B25" s="82">
        <f t="shared" si="0"/>
        <v>45047</v>
      </c>
      <c r="C25" s="157">
        <v>10000</v>
      </c>
      <c r="D25" s="157">
        <v>400</v>
      </c>
      <c r="E25" s="157"/>
      <c r="F25" s="157"/>
      <c r="G25" s="157"/>
      <c r="H25" s="157"/>
      <c r="I25" s="162" cm="1">
        <f t="array" ref="I25">C25 + IF($D$20="(GJ)",D25*Parameters!$C$4, D25) +_xlfn.IFS($E$20 ="(GJ)",E25*Parameters!$C$4,$E$20="(L)",E25*Parameters!$C$5,$E$20="(kg)",E25*Parameters!$C$6,1,E25) + F25*Parameters!$C$7 + G25*_xlfn.XLOOKUP($G$20,Parameters!$C$15:$F$15,Parameters!$C$16:$F$16) + H25*_xlfn.XLOOKUP($H$20,Parameters!$C$19:$G$19,Parameters!$C$21:$G$21)</f>
        <v>121111.11111111111</v>
      </c>
      <c r="J25" s="120"/>
      <c r="K25" s="121">
        <f t="shared" si="1"/>
        <v>45047</v>
      </c>
      <c r="L25" s="166" cm="1">
        <f t="array" ref="L25">(C25*Parameters!$C$10+ IF($D$20="(GJ)",D25*Parameters!$C$4, D25)*Parameters!$C$11+_xlfn.IFS($E$20 ="(GJ)",E25*Parameters!$C$4,$E$20="(L)",E25*Parameters!$C$5,$E$20="(kg)",E25*Parameters!$C$6,1,E25)*Parameters!$C$12+F25*Parameters!$C$7*Parameters!$C$13+G25*_xlfn.XLOOKUP($G$20,Parameters!$C$15:$F$15,Parameters!$C$17:$F$17)+H25*_xlfn.XLOOKUP($H$20,Parameters!$C$19:$G$19,Parameters!$C$22:$G$22))*1000</f>
        <v>23839</v>
      </c>
      <c r="Q25" s="77"/>
      <c r="R25" s="1"/>
    </row>
    <row r="26" spans="2:18" ht="18.75" customHeight="1">
      <c r="B26" s="82">
        <f t="shared" si="0"/>
        <v>45078</v>
      </c>
      <c r="C26" s="157">
        <v>10000</v>
      </c>
      <c r="D26" s="157">
        <v>500</v>
      </c>
      <c r="E26" s="157"/>
      <c r="F26" s="157"/>
      <c r="G26" s="157"/>
      <c r="H26" s="157"/>
      <c r="I26" s="162" cm="1">
        <f t="array" ref="I26">C26 + IF($D$20="(GJ)",D26*Parameters!$C$4, D26) +_xlfn.IFS($E$20 ="(GJ)",E26*Parameters!$C$4,$E$20="(L)",E26*Parameters!$C$5,$E$20="(kg)",E26*Parameters!$C$6,1,E26) + F26*Parameters!$C$7 + G26*_xlfn.XLOOKUP($G$20,Parameters!$C$15:$F$15,Parameters!$C$16:$F$16) + H26*_xlfn.XLOOKUP($H$20,Parameters!$C$19:$G$19,Parameters!$C$21:$G$21)</f>
        <v>148888.88888888888</v>
      </c>
      <c r="J26" s="120"/>
      <c r="K26" s="121">
        <f t="shared" si="1"/>
        <v>45078</v>
      </c>
      <c r="L26" s="166" cm="1">
        <f t="array" ref="L26">(C26*Parameters!$C$10+ IF($D$20="(GJ)",D26*Parameters!$C$4, D26)*Parameters!$C$11+_xlfn.IFS($E$20 ="(GJ)",E26*Parameters!$C$4,$E$20="(L)",E26*Parameters!$C$5,$E$20="(kg)",E26*Parameters!$C$6,1,E26)*Parameters!$C$12+F26*Parameters!$C$7*Parameters!$C$13+G26*_xlfn.XLOOKUP($G$20,Parameters!$C$15:$F$15,Parameters!$C$17:$F$17)+H26*_xlfn.XLOOKUP($H$20,Parameters!$C$19:$G$19,Parameters!$C$22:$G$22))*1000</f>
        <v>29589</v>
      </c>
      <c r="Q26" s="77"/>
      <c r="R26" s="1"/>
    </row>
    <row r="27" spans="2:18" ht="18.75" customHeight="1">
      <c r="B27" s="82">
        <f t="shared" si="0"/>
        <v>45108</v>
      </c>
      <c r="C27" s="157">
        <v>10000</v>
      </c>
      <c r="D27" s="157">
        <v>500</v>
      </c>
      <c r="E27" s="157"/>
      <c r="F27" s="157"/>
      <c r="G27" s="157"/>
      <c r="H27" s="157"/>
      <c r="I27" s="162" cm="1">
        <f t="array" ref="I27">C27 + IF($D$20="(GJ)",D27*Parameters!$C$4, D27) +_xlfn.IFS($E$20 ="(GJ)",E27*Parameters!$C$4,$E$20="(L)",E27*Parameters!$C$5,$E$20="(kg)",E27*Parameters!$C$6,1,E27) + F27*Parameters!$C$7 + G27*_xlfn.XLOOKUP($G$20,Parameters!$C$15:$F$15,Parameters!$C$16:$F$16) + H27*_xlfn.XLOOKUP($H$20,Parameters!$C$19:$G$19,Parameters!$C$21:$G$21)</f>
        <v>148888.88888888888</v>
      </c>
      <c r="J27" s="120"/>
      <c r="K27" s="121">
        <f t="shared" si="1"/>
        <v>45108</v>
      </c>
      <c r="L27" s="166" cm="1">
        <f t="array" ref="L27">(C27*Parameters!$C$10+ IF($D$20="(GJ)",D27*Parameters!$C$4, D27)*Parameters!$C$11+_xlfn.IFS($E$20 ="(GJ)",E27*Parameters!$C$4,$E$20="(L)",E27*Parameters!$C$5,$E$20="(kg)",E27*Parameters!$C$6,1,E27)*Parameters!$C$12+F27*Parameters!$C$7*Parameters!$C$13+G27*_xlfn.XLOOKUP($G$20,Parameters!$C$15:$F$15,Parameters!$C$17:$F$17)+H27*_xlfn.XLOOKUP($H$20,Parameters!$C$19:$G$19,Parameters!$C$22:$G$22))*1000</f>
        <v>29589</v>
      </c>
      <c r="Q27" s="77"/>
      <c r="R27" s="1"/>
    </row>
    <row r="28" spans="2:18" ht="18.75" customHeight="1">
      <c r="B28" s="82">
        <f t="shared" si="0"/>
        <v>45139</v>
      </c>
      <c r="C28" s="157">
        <v>10000</v>
      </c>
      <c r="D28" s="157">
        <v>500</v>
      </c>
      <c r="E28" s="157"/>
      <c r="F28" s="157"/>
      <c r="G28" s="157"/>
      <c r="H28" s="157"/>
      <c r="I28" s="162" cm="1">
        <f t="array" ref="I28">C28 + IF($D$20="(GJ)",D28*Parameters!$C$4, D28) +_xlfn.IFS($E$20 ="(GJ)",E28*Parameters!$C$4,$E$20="(L)",E28*Parameters!$C$5,$E$20="(kg)",E28*Parameters!$C$6,1,E28) + F28*Parameters!$C$7 + G28*_xlfn.XLOOKUP($G$20,Parameters!$C$15:$F$15,Parameters!$C$16:$F$16) + H28*_xlfn.XLOOKUP($H$20,Parameters!$C$19:$G$19,Parameters!$C$21:$G$21)</f>
        <v>148888.88888888888</v>
      </c>
      <c r="J28" s="120"/>
      <c r="K28" s="121">
        <f t="shared" si="1"/>
        <v>45139</v>
      </c>
      <c r="L28" s="166" cm="1">
        <f t="array" ref="L28">(C28*Parameters!$C$10+ IF($D$20="(GJ)",D28*Parameters!$C$4, D28)*Parameters!$C$11+_xlfn.IFS($E$20 ="(GJ)",E28*Parameters!$C$4,$E$20="(L)",E28*Parameters!$C$5,$E$20="(kg)",E28*Parameters!$C$6,1,E28)*Parameters!$C$12+F28*Parameters!$C$7*Parameters!$C$13+G28*_xlfn.XLOOKUP($G$20,Parameters!$C$15:$F$15,Parameters!$C$17:$F$17)+H28*_xlfn.XLOOKUP($H$20,Parameters!$C$19:$G$19,Parameters!$C$22:$G$22))*1000</f>
        <v>29589</v>
      </c>
      <c r="Q28" s="77"/>
      <c r="R28" s="1"/>
    </row>
    <row r="29" spans="2:18" ht="18.75" customHeight="1">
      <c r="B29" s="82">
        <f t="shared" si="0"/>
        <v>45170</v>
      </c>
      <c r="C29" s="157">
        <v>10000</v>
      </c>
      <c r="D29" s="157">
        <v>400</v>
      </c>
      <c r="E29" s="157"/>
      <c r="F29" s="157"/>
      <c r="G29" s="157"/>
      <c r="H29" s="157"/>
      <c r="I29" s="162" cm="1">
        <f t="array" ref="I29">C29 + IF($D$20="(GJ)",D29*Parameters!$C$4, D29) +_xlfn.IFS($E$20 ="(GJ)",E29*Parameters!$C$4,$E$20="(L)",E29*Parameters!$C$5,$E$20="(kg)",E29*Parameters!$C$6,1,E29) + F29*Parameters!$C$7 + G29*_xlfn.XLOOKUP($G$20,Parameters!$C$15:$F$15,Parameters!$C$16:$F$16) + H29*_xlfn.XLOOKUP($H$20,Parameters!$C$19:$G$19,Parameters!$C$21:$G$21)</f>
        <v>121111.11111111111</v>
      </c>
      <c r="J29" s="120"/>
      <c r="K29" s="121">
        <f t="shared" si="1"/>
        <v>45170</v>
      </c>
      <c r="L29" s="166" cm="1">
        <f t="array" ref="L29">(C29*Parameters!$C$10+ IF($D$20="(GJ)",D29*Parameters!$C$4, D29)*Parameters!$C$11+_xlfn.IFS($E$20 ="(GJ)",E29*Parameters!$C$4,$E$20="(L)",E29*Parameters!$C$5,$E$20="(kg)",E29*Parameters!$C$6,1,E29)*Parameters!$C$12+F29*Parameters!$C$7*Parameters!$C$13+G29*_xlfn.XLOOKUP($G$20,Parameters!$C$15:$F$15,Parameters!$C$17:$F$17)+H29*_xlfn.XLOOKUP($H$20,Parameters!$C$19:$G$19,Parameters!$C$22:$G$22))*1000</f>
        <v>23839</v>
      </c>
      <c r="Q29" s="77"/>
      <c r="R29" s="1"/>
    </row>
    <row r="30" spans="2:18" ht="18.75" customHeight="1">
      <c r="B30" s="82">
        <f t="shared" si="0"/>
        <v>45200</v>
      </c>
      <c r="C30" s="157">
        <v>10000</v>
      </c>
      <c r="D30" s="157">
        <v>300</v>
      </c>
      <c r="E30" s="157"/>
      <c r="F30" s="157"/>
      <c r="G30" s="157"/>
      <c r="H30" s="157"/>
      <c r="I30" s="162" cm="1">
        <f t="array" ref="I30">C30 + IF($D$20="(GJ)",D30*Parameters!$C$4, D30) +_xlfn.IFS($E$20 ="(GJ)",E30*Parameters!$C$4,$E$20="(L)",E30*Parameters!$C$5,$E$20="(kg)",E30*Parameters!$C$6,1,E30) + F30*Parameters!$C$7 + G30*_xlfn.XLOOKUP($G$20,Parameters!$C$15:$F$15,Parameters!$C$16:$F$16) + H30*_xlfn.XLOOKUP($H$20,Parameters!$C$19:$G$19,Parameters!$C$21:$G$21)</f>
        <v>93333.333333333328</v>
      </c>
      <c r="J30" s="120"/>
      <c r="K30" s="121">
        <f t="shared" si="1"/>
        <v>45200</v>
      </c>
      <c r="L30" s="166" cm="1">
        <f t="array" ref="L30">(C30*Parameters!$C$10+ IF($D$20="(GJ)",D30*Parameters!$C$4, D30)*Parameters!$C$11+_xlfn.IFS($E$20 ="(GJ)",E30*Parameters!$C$4,$E$20="(L)",E30*Parameters!$C$5,$E$20="(kg)",E30*Parameters!$C$6,1,E30)*Parameters!$C$12+F30*Parameters!$C$7*Parameters!$C$13+G30*_xlfn.XLOOKUP($G$20,Parameters!$C$15:$F$15,Parameters!$C$17:$F$17)+H30*_xlfn.XLOOKUP($H$20,Parameters!$C$19:$G$19,Parameters!$C$22:$G$22))*1000</f>
        <v>18089</v>
      </c>
      <c r="Q30" s="77"/>
      <c r="R30" s="1"/>
    </row>
    <row r="31" spans="2:18" ht="18.75" customHeight="1">
      <c r="B31" s="82">
        <f t="shared" si="0"/>
        <v>45231</v>
      </c>
      <c r="C31" s="157">
        <v>15000</v>
      </c>
      <c r="D31" s="157">
        <v>200</v>
      </c>
      <c r="E31" s="157"/>
      <c r="F31" s="157"/>
      <c r="G31" s="157"/>
      <c r="H31" s="157"/>
      <c r="I31" s="162" cm="1">
        <f t="array" ref="I31">C31 + IF($D$20="(GJ)",D31*Parameters!$C$4, D31) +_xlfn.IFS($E$20 ="(GJ)",E31*Parameters!$C$4,$E$20="(L)",E31*Parameters!$C$5,$E$20="(kg)",E31*Parameters!$C$6,1,E31) + F31*Parameters!$C$7 + G31*_xlfn.XLOOKUP($G$20,Parameters!$C$15:$F$15,Parameters!$C$16:$F$16) + H31*_xlfn.XLOOKUP($H$20,Parameters!$C$19:$G$19,Parameters!$C$21:$G$21)</f>
        <v>70555.555555555562</v>
      </c>
      <c r="J31" s="120"/>
      <c r="K31" s="121">
        <f t="shared" si="1"/>
        <v>45231</v>
      </c>
      <c r="L31" s="166" cm="1">
        <f t="array" ref="L31">(C31*Parameters!$C$10+ IF($D$20="(GJ)",D31*Parameters!$C$4, D31)*Parameters!$C$11+_xlfn.IFS($E$20 ="(GJ)",E31*Parameters!$C$4,$E$20="(L)",E31*Parameters!$C$5,$E$20="(kg)",E31*Parameters!$C$6,1,E31)*Parameters!$C$12+F31*Parameters!$C$7*Parameters!$C$13+G31*_xlfn.XLOOKUP($G$20,Parameters!$C$15:$F$15,Parameters!$C$17:$F$17)+H31*_xlfn.XLOOKUP($H$20,Parameters!$C$19:$G$19,Parameters!$C$22:$G$22))*1000</f>
        <v>12758.5</v>
      </c>
      <c r="Q31" s="77"/>
      <c r="R31" s="1"/>
    </row>
    <row r="32" spans="2:18" ht="18.75" customHeight="1">
      <c r="B32" s="82">
        <f t="shared" si="0"/>
        <v>45261</v>
      </c>
      <c r="C32" s="157">
        <v>15000</v>
      </c>
      <c r="D32" s="157">
        <v>100</v>
      </c>
      <c r="E32" s="157"/>
      <c r="F32" s="157"/>
      <c r="G32" s="157"/>
      <c r="H32" s="157"/>
      <c r="I32" s="162" cm="1">
        <f t="array" ref="I32">C32 + IF($D$20="(GJ)",D32*Parameters!$C$4, D32) +_xlfn.IFS($E$20 ="(GJ)",E32*Parameters!$C$4,$E$20="(L)",E32*Parameters!$C$5,$E$20="(kg)",E32*Parameters!$C$6,1,E32) + F32*Parameters!$C$7 + G32*_xlfn.XLOOKUP($G$20,Parameters!$C$15:$F$15,Parameters!$C$16:$F$16) + H32*_xlfn.XLOOKUP($H$20,Parameters!$C$19:$G$19,Parameters!$C$21:$G$21)</f>
        <v>42777.777777777781</v>
      </c>
      <c r="J32" s="120"/>
      <c r="K32" s="87">
        <f t="shared" si="1"/>
        <v>45261</v>
      </c>
      <c r="L32" s="166" cm="1">
        <f t="array" ref="L32">(C32*Parameters!$C$10+ IF($D$20="(GJ)",D32*Parameters!$C$4, D32)*Parameters!$C$11+_xlfn.IFS($E$20 ="(GJ)",E32*Parameters!$C$4,$E$20="(L)",E32*Parameters!$C$5,$E$20="(kg)",E32*Parameters!$C$6,1,E32)*Parameters!$C$12+F32*Parameters!$C$7*Parameters!$C$13+G32*_xlfn.XLOOKUP($G$20,Parameters!$C$15:$F$15,Parameters!$C$17:$F$17)+H32*_xlfn.XLOOKUP($H$20,Parameters!$C$19:$G$19,Parameters!$C$22:$G$22))*1000</f>
        <v>7008.5</v>
      </c>
      <c r="Q32" s="77"/>
      <c r="R32" s="1"/>
    </row>
    <row r="33" spans="2:26" ht="18.75" customHeight="1">
      <c r="B33" s="88" t="s">
        <v>48</v>
      </c>
      <c r="C33" s="162">
        <f>SUM(C21:C32)</f>
        <v>140000</v>
      </c>
      <c r="D33" s="162">
        <f>SUM(D21:D32)</f>
        <v>3900</v>
      </c>
      <c r="E33" s="162">
        <f>SUM(E21:E32)</f>
        <v>0</v>
      </c>
      <c r="F33" s="162">
        <f t="shared" ref="F33" si="2">SUM(F21:F32)</f>
        <v>0</v>
      </c>
      <c r="G33" s="162">
        <f>SUM(G21:G32)</f>
        <v>0</v>
      </c>
      <c r="H33" s="162">
        <f>SUM(H21:H32)</f>
        <v>0</v>
      </c>
      <c r="I33" s="162" cm="1">
        <f t="array" ref="I33">C33 + IF($D$20="(GJ)",D33*Parameters!$C$4, D33) +_xlfn.IFS($E$20 ="(GJ)",E33*Parameters!$C$4,$E$20="(L)",E33*Parameters!$C$5,$E$20="(kg)",E33*Parameters!$C$6,1,E33) + F33*Parameters!$C$7 + G33*_xlfn.XLOOKUP($G$20,Parameters!$C$15:$F$15,Parameters!$C$16:$F$16) + H33*_xlfn.XLOOKUP($H$20,Parameters!$C$19:$G$19,Parameters!$C$21:$G$21)</f>
        <v>1223333.3333333333</v>
      </c>
      <c r="J33" s="120"/>
      <c r="K33" s="88" t="s">
        <v>48</v>
      </c>
      <c r="L33" s="166">
        <f>SUM(L21:L32)</f>
        <v>235996</v>
      </c>
      <c r="Z33" s="1"/>
    </row>
    <row r="34" spans="2:26">
      <c r="H34" s="83"/>
      <c r="I34" s="85"/>
      <c r="J34" s="85"/>
      <c r="K34" s="85"/>
      <c r="L34" s="85"/>
      <c r="M34" s="85"/>
      <c r="N34" s="85"/>
      <c r="O34" s="85"/>
      <c r="R34" s="86"/>
      <c r="U34" s="83"/>
      <c r="V34" s="85"/>
      <c r="W34" s="85"/>
      <c r="Y34" s="83"/>
      <c r="Z34" s="1"/>
    </row>
    <row r="35" spans="2:26">
      <c r="H35" s="83"/>
      <c r="I35" s="85"/>
      <c r="J35" s="85"/>
      <c r="K35" s="85"/>
      <c r="L35" s="85"/>
      <c r="M35" s="85"/>
      <c r="N35" s="85"/>
      <c r="O35" s="85"/>
      <c r="R35" s="86"/>
      <c r="U35" s="83"/>
      <c r="V35" s="85"/>
      <c r="W35" s="85"/>
      <c r="Y35" s="83"/>
      <c r="Z35" s="1"/>
    </row>
    <row r="36" spans="2:26">
      <c r="H36" s="83"/>
      <c r="I36" s="85"/>
      <c r="J36" s="85"/>
      <c r="K36" s="85"/>
      <c r="L36" s="85"/>
      <c r="M36" s="85"/>
      <c r="N36" s="85"/>
      <c r="O36" s="85"/>
      <c r="R36" s="86"/>
      <c r="U36" s="83"/>
      <c r="V36" s="85"/>
      <c r="W36" s="85"/>
      <c r="Y36" s="83"/>
      <c r="Z36" s="1"/>
    </row>
    <row r="37" spans="2:26" ht="30" customHeight="1">
      <c r="B37" s="79"/>
      <c r="C37" s="179" t="s">
        <v>49</v>
      </c>
      <c r="D37" s="184"/>
      <c r="E37" s="184"/>
      <c r="F37" s="180"/>
    </row>
    <row r="38" spans="2:26" ht="47.45" customHeight="1">
      <c r="B38" s="80"/>
      <c r="C38" s="112" t="s">
        <v>50</v>
      </c>
      <c r="D38" s="112" t="s">
        <v>51</v>
      </c>
      <c r="E38" s="112" t="s">
        <v>52</v>
      </c>
      <c r="F38" s="113" t="s">
        <v>53</v>
      </c>
    </row>
    <row r="39" spans="2:26" ht="18.75" customHeight="1">
      <c r="B39" s="79" t="s">
        <v>54</v>
      </c>
      <c r="C39" s="158">
        <v>450</v>
      </c>
      <c r="D39" s="158">
        <v>300</v>
      </c>
      <c r="E39" s="158"/>
      <c r="F39" s="161">
        <f>SUM(C39:E39)</f>
        <v>750</v>
      </c>
      <c r="I39" s="84"/>
      <c r="Z39" s="1"/>
    </row>
    <row r="40" spans="2:26">
      <c r="I40" s="84"/>
      <c r="Z40" s="1"/>
    </row>
    <row r="41" spans="2:26">
      <c r="Z41" s="1"/>
    </row>
    <row r="42" spans="2:26" ht="49.5" customHeight="1">
      <c r="C42" s="179" t="s">
        <v>55</v>
      </c>
      <c r="D42" s="180"/>
      <c r="H42" s="81"/>
      <c r="I42" s="181" t="s">
        <v>56</v>
      </c>
      <c r="J42" s="182"/>
      <c r="L42" s="81"/>
      <c r="M42" s="181" t="s">
        <v>57</v>
      </c>
      <c r="N42" s="182"/>
      <c r="O42" s="77"/>
      <c r="R42" s="1"/>
      <c r="Z42" s="1"/>
    </row>
    <row r="43" spans="2:26" ht="33.75" customHeight="1">
      <c r="C43" s="108" t="s">
        <v>58</v>
      </c>
      <c r="D43" s="157">
        <v>56</v>
      </c>
      <c r="I43" s="111" t="s">
        <v>59</v>
      </c>
      <c r="J43" s="111" t="s">
        <v>60</v>
      </c>
      <c r="M43" s="111" t="s">
        <v>61</v>
      </c>
      <c r="N43" s="111" t="s">
        <v>62</v>
      </c>
      <c r="R43" s="1"/>
      <c r="Z43" s="1"/>
    </row>
    <row r="44" spans="2:26" ht="33.75" customHeight="1">
      <c r="C44" s="108" t="s">
        <v>63</v>
      </c>
      <c r="D44" s="107" t="s">
        <v>64</v>
      </c>
      <c r="I44" s="111"/>
      <c r="J44" s="111"/>
      <c r="M44" s="111"/>
      <c r="N44" s="111"/>
      <c r="R44" s="1"/>
      <c r="Z44" s="1"/>
    </row>
    <row r="45" spans="2:26" ht="18.75" customHeight="1">
      <c r="B45" s="82">
        <f>$D$11</f>
        <v>44927</v>
      </c>
      <c r="C45" s="157">
        <v>46</v>
      </c>
      <c r="D45" s="160">
        <f>IF($D$43&gt;0,C45/$D$43*100,"")</f>
        <v>82.142857142857139</v>
      </c>
      <c r="H45" s="82">
        <f t="shared" ref="H45:H56" si="3">B45</f>
        <v>44927</v>
      </c>
      <c r="I45" s="167">
        <f>IF($F$39&gt;0,I21/($F$39),0)</f>
        <v>94.074074074074076</v>
      </c>
      <c r="J45" s="167">
        <f>IF($D$43&gt;0,I21/D45,0)</f>
        <v>858.93719806763295</v>
      </c>
      <c r="L45" s="82">
        <f t="shared" ref="L45:L56" si="4">B45</f>
        <v>44927</v>
      </c>
      <c r="M45" s="169">
        <f>IF($F$39&gt;0,L21/($F$39),0)</f>
        <v>17.011333333333333</v>
      </c>
      <c r="N45" s="169">
        <f>IF(($D$43)&gt;0,L21/(D45),0)</f>
        <v>155.32086956521741</v>
      </c>
      <c r="R45" s="1"/>
      <c r="Z45" s="1"/>
    </row>
    <row r="46" spans="2:26" ht="18.75" customHeight="1">
      <c r="B46" s="82">
        <f>DATE(YEAR(B45),MONTH(B45)+1,1)</f>
        <v>44958</v>
      </c>
      <c r="C46" s="157">
        <v>53</v>
      </c>
      <c r="D46" s="160">
        <f t="shared" ref="D46:D56" si="5">IF($D$43&gt;0,C46/$D$43*100,"")</f>
        <v>94.642857142857139</v>
      </c>
      <c r="H46" s="82">
        <f t="shared" si="3"/>
        <v>44958</v>
      </c>
      <c r="I46" s="167">
        <f t="shared" ref="I46:I56" si="6">IF($F$39&gt;0,I22/($F$39),0)</f>
        <v>94.074074074074076</v>
      </c>
      <c r="J46" s="167">
        <f>IF($D$43&gt;0,I22/D46,0)</f>
        <v>745.49266247379467</v>
      </c>
      <c r="L46" s="82">
        <f t="shared" si="4"/>
        <v>44958</v>
      </c>
      <c r="M46" s="169">
        <f t="shared" ref="M46:M56" si="7">IF($F$39&gt;0,L22/($F$39),0)</f>
        <v>17.011333333333333</v>
      </c>
      <c r="N46" s="169">
        <f t="shared" ref="N46:N56" si="8">IF(($D$43)&gt;0,L22/(D46),0)</f>
        <v>134.80679245283019</v>
      </c>
      <c r="R46" s="1"/>
      <c r="Z46" s="1"/>
    </row>
    <row r="47" spans="2:26" ht="18.75" customHeight="1">
      <c r="B47" s="82">
        <f t="shared" ref="B47:B56" si="9">DATE(YEAR(B46),MONTH(B46)+1,1)</f>
        <v>44986</v>
      </c>
      <c r="C47" s="157">
        <v>54</v>
      </c>
      <c r="D47" s="160">
        <f t="shared" si="5"/>
        <v>96.428571428571431</v>
      </c>
      <c r="H47" s="82">
        <f t="shared" si="3"/>
        <v>44986</v>
      </c>
      <c r="I47" s="167">
        <f t="shared" si="6"/>
        <v>124.44444444444444</v>
      </c>
      <c r="J47" s="167">
        <f>IF($D$43&gt;0,I23/D47,0)</f>
        <v>967.90123456790116</v>
      </c>
      <c r="L47" s="82">
        <f t="shared" si="4"/>
        <v>44986</v>
      </c>
      <c r="M47" s="169">
        <f>IF($F$39&gt;0,L23/($F$39),0)</f>
        <v>24.118666666666666</v>
      </c>
      <c r="N47" s="169">
        <f t="shared" si="8"/>
        <v>187.58962962962963</v>
      </c>
      <c r="R47" s="1"/>
      <c r="Z47" s="1"/>
    </row>
    <row r="48" spans="2:26" ht="18.75" customHeight="1">
      <c r="B48" s="82">
        <f t="shared" si="9"/>
        <v>45017</v>
      </c>
      <c r="C48" s="157">
        <v>47</v>
      </c>
      <c r="D48" s="160">
        <f t="shared" si="5"/>
        <v>83.928571428571431</v>
      </c>
      <c r="H48" s="82">
        <f t="shared" si="3"/>
        <v>45017</v>
      </c>
      <c r="I48" s="167">
        <f t="shared" si="6"/>
        <v>124.44444444444444</v>
      </c>
      <c r="J48" s="167">
        <f t="shared" ref="J48:J56" si="10">IF($D$43&gt;0,I24/D48,0)</f>
        <v>1112.0567375886524</v>
      </c>
      <c r="L48" s="82">
        <f t="shared" si="4"/>
        <v>45017</v>
      </c>
      <c r="M48" s="169">
        <f t="shared" si="7"/>
        <v>24.118666666666666</v>
      </c>
      <c r="N48" s="170">
        <f t="shared" si="8"/>
        <v>215.52851063829786</v>
      </c>
      <c r="R48" s="1"/>
      <c r="Z48" s="1"/>
    </row>
    <row r="49" spans="2:26" ht="18.75" customHeight="1">
      <c r="B49" s="82">
        <f t="shared" si="9"/>
        <v>45047</v>
      </c>
      <c r="C49" s="157">
        <v>47</v>
      </c>
      <c r="D49" s="160">
        <f t="shared" si="5"/>
        <v>83.928571428571431</v>
      </c>
      <c r="H49" s="82">
        <f t="shared" si="3"/>
        <v>45047</v>
      </c>
      <c r="I49" s="167">
        <f t="shared" si="6"/>
        <v>161.48148148148147</v>
      </c>
      <c r="J49" s="167">
        <f t="shared" si="10"/>
        <v>1443.0260047281324</v>
      </c>
      <c r="L49" s="82">
        <f t="shared" si="4"/>
        <v>45047</v>
      </c>
      <c r="M49" s="169">
        <f t="shared" si="7"/>
        <v>31.785333333333334</v>
      </c>
      <c r="N49" s="170">
        <f t="shared" si="8"/>
        <v>284.03914893617019</v>
      </c>
      <c r="R49" s="1"/>
      <c r="Z49" s="1"/>
    </row>
    <row r="50" spans="2:26" ht="18.75" customHeight="1">
      <c r="B50" s="82">
        <f t="shared" si="9"/>
        <v>45078</v>
      </c>
      <c r="C50" s="157">
        <v>47</v>
      </c>
      <c r="D50" s="160">
        <f t="shared" si="5"/>
        <v>83.928571428571431</v>
      </c>
      <c r="H50" s="82">
        <f t="shared" si="3"/>
        <v>45078</v>
      </c>
      <c r="I50" s="167">
        <f t="shared" si="6"/>
        <v>198.5185185185185</v>
      </c>
      <c r="J50" s="167">
        <f t="shared" si="10"/>
        <v>1773.995271867612</v>
      </c>
      <c r="L50" s="82">
        <f t="shared" si="4"/>
        <v>45078</v>
      </c>
      <c r="M50" s="169">
        <f t="shared" si="7"/>
        <v>39.451999999999998</v>
      </c>
      <c r="N50" s="170">
        <f t="shared" si="8"/>
        <v>352.54978723404253</v>
      </c>
      <c r="R50" s="1"/>
      <c r="Z50" s="1"/>
    </row>
    <row r="51" spans="2:26" ht="18.75" customHeight="1">
      <c r="B51" s="82">
        <f t="shared" si="9"/>
        <v>45108</v>
      </c>
      <c r="C51" s="157">
        <v>56</v>
      </c>
      <c r="D51" s="160">
        <f t="shared" si="5"/>
        <v>100</v>
      </c>
      <c r="H51" s="82">
        <f t="shared" si="3"/>
        <v>45108</v>
      </c>
      <c r="I51" s="167">
        <f t="shared" si="6"/>
        <v>198.5185185185185</v>
      </c>
      <c r="J51" s="167">
        <f t="shared" si="10"/>
        <v>1488.8888888888887</v>
      </c>
      <c r="L51" s="82">
        <f t="shared" si="4"/>
        <v>45108</v>
      </c>
      <c r="M51" s="169">
        <f t="shared" si="7"/>
        <v>39.451999999999998</v>
      </c>
      <c r="N51" s="170">
        <f t="shared" si="8"/>
        <v>295.89</v>
      </c>
      <c r="R51" s="1"/>
      <c r="Z51" s="1"/>
    </row>
    <row r="52" spans="2:26" ht="18.75" customHeight="1">
      <c r="B52" s="82">
        <f t="shared" si="9"/>
        <v>45139</v>
      </c>
      <c r="C52" s="157">
        <v>47</v>
      </c>
      <c r="D52" s="160">
        <f t="shared" si="5"/>
        <v>83.928571428571431</v>
      </c>
      <c r="H52" s="82">
        <f t="shared" si="3"/>
        <v>45139</v>
      </c>
      <c r="I52" s="167">
        <f t="shared" si="6"/>
        <v>198.5185185185185</v>
      </c>
      <c r="J52" s="167">
        <f t="shared" si="10"/>
        <v>1773.995271867612</v>
      </c>
      <c r="L52" s="82">
        <f t="shared" si="4"/>
        <v>45139</v>
      </c>
      <c r="M52" s="169">
        <f t="shared" si="7"/>
        <v>39.451999999999998</v>
      </c>
      <c r="N52" s="170">
        <f t="shared" si="8"/>
        <v>352.54978723404253</v>
      </c>
      <c r="R52" s="1"/>
      <c r="Z52" s="1"/>
    </row>
    <row r="53" spans="2:26" ht="18.75" customHeight="1">
      <c r="B53" s="82">
        <f t="shared" si="9"/>
        <v>45170</v>
      </c>
      <c r="C53" s="157">
        <v>53</v>
      </c>
      <c r="D53" s="160">
        <f t="shared" si="5"/>
        <v>94.642857142857139</v>
      </c>
      <c r="H53" s="82">
        <f t="shared" si="3"/>
        <v>45170</v>
      </c>
      <c r="I53" s="167">
        <f t="shared" si="6"/>
        <v>161.48148148148147</v>
      </c>
      <c r="J53" s="167">
        <f t="shared" si="10"/>
        <v>1279.664570230608</v>
      </c>
      <c r="L53" s="82">
        <f t="shared" si="4"/>
        <v>45170</v>
      </c>
      <c r="M53" s="169">
        <f t="shared" si="7"/>
        <v>31.785333333333334</v>
      </c>
      <c r="N53" s="170">
        <f t="shared" si="8"/>
        <v>251.88377358490567</v>
      </c>
      <c r="R53" s="1"/>
      <c r="Z53" s="1"/>
    </row>
    <row r="54" spans="2:26" ht="18.75" customHeight="1">
      <c r="B54" s="82">
        <f t="shared" si="9"/>
        <v>45200</v>
      </c>
      <c r="C54" s="157">
        <v>54</v>
      </c>
      <c r="D54" s="160">
        <f t="shared" si="5"/>
        <v>96.428571428571431</v>
      </c>
      <c r="H54" s="82">
        <f t="shared" si="3"/>
        <v>45200</v>
      </c>
      <c r="I54" s="167">
        <f t="shared" si="6"/>
        <v>124.44444444444444</v>
      </c>
      <c r="J54" s="167">
        <f t="shared" si="10"/>
        <v>967.90123456790116</v>
      </c>
      <c r="L54" s="82">
        <f t="shared" si="4"/>
        <v>45200</v>
      </c>
      <c r="M54" s="169">
        <f t="shared" si="7"/>
        <v>24.118666666666666</v>
      </c>
      <c r="N54" s="170">
        <f t="shared" si="8"/>
        <v>187.58962962962963</v>
      </c>
      <c r="R54" s="1"/>
      <c r="W54"/>
      <c r="Z54" s="1"/>
    </row>
    <row r="55" spans="2:26" ht="18.75" customHeight="1">
      <c r="B55" s="82">
        <f t="shared" si="9"/>
        <v>45231</v>
      </c>
      <c r="C55" s="157">
        <v>56</v>
      </c>
      <c r="D55" s="160">
        <f t="shared" si="5"/>
        <v>100</v>
      </c>
      <c r="H55" s="82">
        <f t="shared" si="3"/>
        <v>45231</v>
      </c>
      <c r="I55" s="167">
        <f t="shared" si="6"/>
        <v>94.074074074074076</v>
      </c>
      <c r="J55" s="167">
        <f t="shared" si="10"/>
        <v>705.55555555555566</v>
      </c>
      <c r="L55" s="82">
        <f t="shared" si="4"/>
        <v>45231</v>
      </c>
      <c r="M55" s="169">
        <f t="shared" si="7"/>
        <v>17.011333333333333</v>
      </c>
      <c r="N55" s="170">
        <f t="shared" si="8"/>
        <v>127.58499999999999</v>
      </c>
      <c r="R55" s="1"/>
      <c r="W55"/>
      <c r="Z55" s="1"/>
    </row>
    <row r="56" spans="2:26" ht="18.75" customHeight="1">
      <c r="B56" s="82">
        <f t="shared" si="9"/>
        <v>45261</v>
      </c>
      <c r="C56" s="157">
        <v>45</v>
      </c>
      <c r="D56" s="160">
        <f t="shared" si="5"/>
        <v>80.357142857142861</v>
      </c>
      <c r="H56" s="87">
        <f t="shared" si="3"/>
        <v>45261</v>
      </c>
      <c r="I56" s="167">
        <f t="shared" si="6"/>
        <v>57.037037037037038</v>
      </c>
      <c r="J56" s="167">
        <f t="shared" si="10"/>
        <v>532.34567901234573</v>
      </c>
      <c r="L56" s="87">
        <f t="shared" si="4"/>
        <v>45261</v>
      </c>
      <c r="M56" s="169">
        <f t="shared" si="7"/>
        <v>9.3446666666666669</v>
      </c>
      <c r="N56" s="170">
        <f t="shared" si="8"/>
        <v>87.216888888888889</v>
      </c>
      <c r="R56" s="1"/>
      <c r="W56"/>
      <c r="Z56" s="1"/>
    </row>
    <row r="57" spans="2:26" ht="18.75" customHeight="1">
      <c r="B57" s="88" t="s">
        <v>65</v>
      </c>
      <c r="C57" s="159">
        <f>IFERROR(AVERAGE(C45:C56),0)</f>
        <v>50.416666666666664</v>
      </c>
      <c r="D57" s="159">
        <f>IFERROR(AVERAGE(#REF!),0)</f>
        <v>0</v>
      </c>
      <c r="H57" s="83" t="s">
        <v>65</v>
      </c>
      <c r="I57" s="168">
        <f>IFERROR(AVERAGE(I45:I56),0)</f>
        <v>135.9259259259259</v>
      </c>
      <c r="J57" s="168">
        <f>IFERROR(AVERAGE(J45:J56),0)</f>
        <v>1137.4800257847198</v>
      </c>
      <c r="L57" s="83" t="s">
        <v>65</v>
      </c>
      <c r="M57" s="171">
        <f>IFERROR(AVERAGE(M45:M56),0)</f>
        <v>26.221777777777778</v>
      </c>
      <c r="N57" s="171">
        <f>IFERROR(AVERAGE(N45:N56),0)</f>
        <v>219.37915148280453</v>
      </c>
      <c r="R57" s="1"/>
      <c r="W57"/>
      <c r="Z57" s="1"/>
    </row>
    <row r="58" spans="2:26"/>
    <row r="59" spans="2:26"/>
    <row r="60" spans="2:26" ht="49.5" customHeight="1">
      <c r="H60" s="81"/>
      <c r="I60" s="81"/>
      <c r="J60" s="81"/>
      <c r="K60" s="81"/>
      <c r="L60" s="81"/>
      <c r="M60" s="81"/>
      <c r="N60" s="81"/>
    </row>
    <row r="61" spans="2:26" ht="33.75" customHeight="1">
      <c r="H61" s="81"/>
      <c r="I61" s="81"/>
      <c r="J61" s="81"/>
      <c r="K61" s="81"/>
      <c r="L61" s="81"/>
      <c r="M61" s="81"/>
      <c r="N61" s="81"/>
    </row>
    <row r="62" spans="2:26" ht="18.75" customHeight="1">
      <c r="H62" s="81"/>
      <c r="I62" s="81"/>
      <c r="J62" s="81"/>
      <c r="K62" s="81"/>
      <c r="L62" s="81"/>
      <c r="M62" s="81"/>
      <c r="N62" s="81"/>
    </row>
    <row r="63" spans="2:26" ht="18.75" customHeight="1">
      <c r="H63" s="81"/>
      <c r="I63" s="81"/>
      <c r="J63" s="81"/>
      <c r="K63" s="81"/>
      <c r="L63" s="81"/>
      <c r="M63" s="81"/>
      <c r="N63" s="81"/>
    </row>
    <row r="64" spans="2:26" ht="18.75" customHeight="1">
      <c r="H64" s="81"/>
      <c r="I64" s="81"/>
      <c r="J64" s="81"/>
      <c r="K64" s="81"/>
      <c r="L64" s="81"/>
      <c r="M64" s="81"/>
      <c r="N64" s="81"/>
    </row>
    <row r="65" spans="8:14" ht="18.75" customHeight="1">
      <c r="H65" s="81"/>
      <c r="I65" s="81"/>
      <c r="J65" s="81"/>
      <c r="K65" s="81"/>
      <c r="L65" s="81"/>
      <c r="M65" s="81"/>
      <c r="N65" s="81"/>
    </row>
    <row r="66" spans="8:14" ht="18.75" customHeight="1">
      <c r="H66" s="81"/>
      <c r="I66" s="81"/>
      <c r="J66" s="81"/>
      <c r="K66" s="81"/>
      <c r="L66" s="81"/>
      <c r="M66" s="81"/>
      <c r="N66" s="81"/>
    </row>
    <row r="67" spans="8:14" ht="18.75" customHeight="1">
      <c r="H67" s="81"/>
      <c r="I67" s="81"/>
      <c r="J67" s="81"/>
      <c r="K67" s="81"/>
      <c r="L67" s="81"/>
      <c r="M67" s="81"/>
      <c r="N67" s="81"/>
    </row>
    <row r="68" spans="8:14" ht="18.75" customHeight="1">
      <c r="H68" s="81"/>
      <c r="I68" s="81"/>
      <c r="J68" s="81"/>
      <c r="K68" s="81"/>
      <c r="L68" s="81"/>
      <c r="M68" s="81"/>
      <c r="N68" s="81"/>
    </row>
    <row r="69" spans="8:14" ht="18.75" customHeight="1">
      <c r="H69" s="81"/>
      <c r="I69" s="81"/>
      <c r="J69" s="81"/>
      <c r="K69" s="81"/>
      <c r="L69" s="81"/>
      <c r="M69" s="81"/>
      <c r="N69" s="81"/>
    </row>
    <row r="70" spans="8:14" ht="18.75" customHeight="1">
      <c r="H70" s="81"/>
      <c r="I70" s="81"/>
      <c r="J70" s="81"/>
      <c r="K70" s="81"/>
      <c r="L70" s="81"/>
      <c r="M70" s="81"/>
      <c r="N70" s="81"/>
    </row>
    <row r="71" spans="8:14" ht="18.75" customHeight="1">
      <c r="H71" s="81"/>
      <c r="I71" s="81"/>
      <c r="J71" s="81"/>
      <c r="K71" s="81"/>
      <c r="L71" s="81"/>
      <c r="M71" s="81"/>
      <c r="N71" s="81"/>
    </row>
    <row r="72" spans="8:14" ht="18.75" customHeight="1">
      <c r="H72" s="81"/>
      <c r="I72" s="81"/>
      <c r="J72" s="81"/>
      <c r="K72" s="81"/>
      <c r="L72" s="81"/>
      <c r="M72" s="81"/>
      <c r="N72" s="81"/>
    </row>
    <row r="73" spans="8:14" ht="18.75" customHeight="1">
      <c r="H73" s="81"/>
      <c r="I73" s="81"/>
      <c r="J73" s="81"/>
      <c r="K73" s="81"/>
      <c r="L73" s="81"/>
      <c r="M73" s="81"/>
      <c r="N73" s="81"/>
    </row>
    <row r="74" spans="8:14" ht="18.75" customHeight="1">
      <c r="H74" s="81"/>
      <c r="I74" s="81"/>
      <c r="J74" s="81"/>
      <c r="K74" s="81"/>
      <c r="L74" s="81"/>
      <c r="M74" s="81"/>
      <c r="N74" s="81"/>
    </row>
    <row r="75" spans="8:14"/>
    <row r="76" spans="8:14"/>
    <row r="77" spans="8:14"/>
    <row r="78" spans="8:14"/>
    <row r="79" spans="8:14"/>
    <row r="80" spans="8:14"/>
    <row r="81"/>
  </sheetData>
  <sheetProtection selectLockedCells="1" selectUnlockedCells="1"/>
  <protectedRanges>
    <protectedRange sqref="C11:E11 D20:E20 G20:H20 C39:E39 D43 C21:H32 C45:C56" name="Range1"/>
  </protectedRanges>
  <mergeCells count="11">
    <mergeCell ref="B1:AA1"/>
    <mergeCell ref="G4:N6"/>
    <mergeCell ref="C42:D42"/>
    <mergeCell ref="I42:J42"/>
    <mergeCell ref="M42:N42"/>
    <mergeCell ref="C9:E9"/>
    <mergeCell ref="C37:F37"/>
    <mergeCell ref="C17:I17"/>
    <mergeCell ref="D19:E19"/>
    <mergeCell ref="C14:E14"/>
    <mergeCell ref="G19:H19"/>
  </mergeCells>
  <phoneticPr fontId="12" type="noConversion"/>
  <conditionalFormatting sqref="C45:C56">
    <cfRule type="cellIs" dxfId="0" priority="5" operator="greaterThan">
      <formula>$C$39</formula>
    </cfRule>
  </conditionalFormatting>
  <dataValidations count="2">
    <dataValidation type="list" allowBlank="1" showInputMessage="1" showErrorMessage="1" sqref="D20" xr:uid="{2A990F8D-98E0-4ABC-8738-DA8F1555E183}">
      <formula1>"(GJ), (kWh)"</formula1>
    </dataValidation>
    <dataValidation type="list" allowBlank="1" showInputMessage="1" showErrorMessage="1" sqref="E20" xr:uid="{85F340A8-7CA1-4478-A5A7-A955E44AB3C3}">
      <formula1>"(GJ),(L),(kg),(kWh)"</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B95DCFE-0A2D-4300-B0F9-ED744BE2DB98}">
          <x14:formula1>
            <xm:f>Parameters!$C$19:$G$19</xm:f>
          </x14:formula1>
          <xm:sqref>H20</xm:sqref>
        </x14:dataValidation>
        <x14:dataValidation type="list" allowBlank="1" showInputMessage="1" showErrorMessage="1" xr:uid="{4EDBC08E-B090-40CB-8760-839C91E65B5A}">
          <x14:formula1>
            <xm:f>'Background Calcs'!$D$22:$R$22</xm:f>
          </x14:formula1>
          <xm:sqref>E11</xm:sqref>
        </x14:dataValidation>
        <x14:dataValidation type="list" allowBlank="1" showInputMessage="1" showErrorMessage="1" xr:uid="{1656615A-A40D-4F68-864E-3B31A0801C39}">
          <x14:formula1>
            <xm:f>Parameters!$C$15:$F$15</xm:f>
          </x14:formula1>
          <xm:sqref>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1B9BE-15C7-4A4B-B117-1D200EA19EB1}">
  <dimension ref="A1:XFD116"/>
  <sheetViews>
    <sheetView showGridLines="0" zoomScaleNormal="100" workbookViewId="0">
      <selection activeCell="M63" sqref="M63"/>
    </sheetView>
  </sheetViews>
  <sheetFormatPr defaultColWidth="0" defaultRowHeight="14.45" zeroHeight="1"/>
  <cols>
    <col min="1" max="20" width="9.140625" style="35" customWidth="1"/>
    <col min="21" max="22" width="9.140625" style="35" hidden="1" customWidth="1"/>
    <col min="23" max="16384" width="9.140625" style="35" hidden="1"/>
  </cols>
  <sheetData>
    <row r="1" spans="1:27 16384:16384" customFormat="1" ht="121.9" customHeight="1">
      <c r="A1" s="124" t="s">
        <v>0</v>
      </c>
      <c r="B1" s="176" t="str">
        <f>"Summary Graphs for: "&amp;'Energy Calculator'!$C$11</f>
        <v>Summary Graphs for: Hotel 1</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XFD1" s="172"/>
    </row>
    <row r="2" spans="1:27 16384:16384" s="54" customFormat="1">
      <c r="D2" s="92"/>
      <c r="E2" s="93"/>
    </row>
    <row r="3" spans="1:27 16384:16384"/>
    <row r="4" spans="1:27 16384:16384"/>
    <row r="5" spans="1:27 16384:16384"/>
    <row r="6" spans="1:27 16384:16384"/>
    <row r="7" spans="1:27 16384:16384"/>
    <row r="8" spans="1:27 16384:16384"/>
    <row r="9" spans="1:27 16384:16384"/>
    <row r="10" spans="1:27 16384:16384"/>
    <row r="11" spans="1:27 16384:16384"/>
    <row r="12" spans="1:27 16384:16384"/>
    <row r="13" spans="1:27 16384:16384"/>
    <row r="14" spans="1:27 16384:16384"/>
    <row r="15" spans="1:27 16384:16384"/>
    <row r="16" spans="1:27 16384:16384"/>
    <row r="17" s="35" customFormat="1"/>
    <row r="18" s="35" customFormat="1"/>
    <row r="19" s="35" customFormat="1"/>
    <row r="20" s="35" customFormat="1"/>
    <row r="21" s="35" customFormat="1"/>
    <row r="22" s="35" customFormat="1"/>
    <row r="23" s="35" customFormat="1"/>
    <row r="24" s="35" customFormat="1"/>
    <row r="25" s="35" customFormat="1"/>
    <row r="26" s="35" customFormat="1"/>
    <row r="27" s="35" customFormat="1"/>
    <row r="28" s="35" customFormat="1"/>
    <row r="29" s="35" customFormat="1"/>
    <row r="30" s="35" customFormat="1"/>
    <row r="31" s="35" customFormat="1"/>
    <row r="32" s="35" customFormat="1"/>
    <row r="33" s="35" customFormat="1"/>
    <row r="34" s="35" customFormat="1"/>
    <row r="35" s="35" customFormat="1"/>
    <row r="36" s="35" customFormat="1"/>
    <row r="37" s="35" customFormat="1"/>
    <row r="38" s="35" customFormat="1"/>
    <row r="39" s="35" customFormat="1"/>
    <row r="40" s="35" customFormat="1"/>
    <row r="41" s="35" customFormat="1"/>
    <row r="42" s="35" customFormat="1"/>
    <row r="43" s="35" customFormat="1"/>
    <row r="44" s="35" customFormat="1"/>
    <row r="45" s="35" customFormat="1"/>
    <row r="46" s="35" customFormat="1"/>
    <row r="47" s="35" customFormat="1"/>
    <row r="48" s="35" customFormat="1"/>
    <row r="49" s="35" customFormat="1"/>
    <row r="50" s="35" customFormat="1"/>
    <row r="51" s="35" customFormat="1"/>
    <row r="52" s="35" customFormat="1"/>
    <row r="53" s="35" customFormat="1"/>
    <row r="54" s="35" customFormat="1"/>
    <row r="55" s="35" customFormat="1"/>
    <row r="56" s="35" customFormat="1"/>
    <row r="57" s="35" customFormat="1"/>
    <row r="58" s="35" customFormat="1"/>
    <row r="59" s="35" customFormat="1"/>
    <row r="60" s="35" customFormat="1"/>
    <row r="61" s="35" customFormat="1"/>
    <row r="62" s="35" customFormat="1"/>
    <row r="63" s="35" customFormat="1"/>
    <row r="64" s="35" customFormat="1"/>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hidden="1"/>
    <row r="104" s="35" customFormat="1" hidden="1"/>
    <row r="105" s="35" customFormat="1" hidden="1"/>
    <row r="106" s="35" customFormat="1" hidden="1"/>
    <row r="107" s="35" customFormat="1" hidden="1"/>
    <row r="108" s="35" customFormat="1" hidden="1"/>
    <row r="109" s="35" customFormat="1" hidden="1"/>
    <row r="110" s="35" customFormat="1" hidden="1"/>
    <row r="111" s="35" customFormat="1" hidden="1"/>
    <row r="112" s="35" customFormat="1" hidden="1"/>
    <row r="113" s="35" customFormat="1" hidden="1"/>
    <row r="114" s="35" customFormat="1" hidden="1"/>
    <row r="115" s="35" customFormat="1" hidden="1"/>
    <row r="116" s="35" customFormat="1" hidden="1"/>
  </sheetData>
  <sheetProtection algorithmName="SHA-512" hashValue="DR/PSrRAWQqixe/nMfpE6dWrpgBNLMYRnAH7hpU6GlQ39FhNBKrsW0oZrFauLwPJ04xqzl8hbEhwOgDaGEdc4g==" saltValue="nSaRL/cb/imv50YoxW8K3g==" spinCount="100000" sheet="1" objects="1" scenarios="1"/>
  <mergeCells count="1">
    <mergeCell ref="B1:AA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358DC-D774-4DE2-B115-6AB848D9DA84}">
  <dimension ref="B1:S30"/>
  <sheetViews>
    <sheetView showGridLines="0" zoomScale="115" zoomScaleNormal="115" workbookViewId="0">
      <selection activeCell="Q67" sqref="Q67"/>
    </sheetView>
  </sheetViews>
  <sheetFormatPr defaultColWidth="8.85546875" defaultRowHeight="14.45"/>
  <cols>
    <col min="1" max="1" width="8.85546875" style="35" customWidth="1"/>
    <col min="2" max="2" width="40.42578125" style="35" bestFit="1" customWidth="1"/>
    <col min="3" max="3" width="18.7109375" style="35" customWidth="1"/>
    <col min="4" max="4" width="19.28515625" style="35" customWidth="1"/>
    <col min="5" max="6" width="15.5703125" style="35" customWidth="1"/>
    <col min="7" max="7" width="15.5703125" style="35" hidden="1" customWidth="1"/>
    <col min="8" max="11" width="8.85546875" style="35" customWidth="1"/>
    <col min="12" max="12" width="10.42578125" style="35" customWidth="1"/>
    <col min="13" max="18" width="8.85546875" style="35" customWidth="1"/>
    <col min="19" max="19" width="24.7109375" style="35" customWidth="1"/>
    <col min="20" max="20" width="8.85546875" style="35" customWidth="1"/>
    <col min="21" max="16384" width="8.85546875" style="35"/>
  </cols>
  <sheetData>
    <row r="1" spans="2:19" ht="18">
      <c r="B1" s="45" t="s">
        <v>66</v>
      </c>
      <c r="C1" s="46"/>
      <c r="E1" s="46"/>
      <c r="M1" s="49"/>
      <c r="N1" s="47"/>
      <c r="Q1" s="48"/>
      <c r="S1" s="49"/>
    </row>
    <row r="2" spans="2:19">
      <c r="B2" s="53"/>
      <c r="C2" s="59"/>
      <c r="D2" s="53"/>
      <c r="E2" s="53"/>
      <c r="F2" s="3"/>
      <c r="G2" s="53"/>
      <c r="H2" s="3"/>
      <c r="I2" s="53"/>
      <c r="J2" s="59"/>
      <c r="K2" s="59"/>
      <c r="L2" s="59"/>
      <c r="M2" s="51"/>
      <c r="N2" s="71"/>
      <c r="O2" s="59"/>
      <c r="P2" s="59"/>
      <c r="Q2" s="3"/>
      <c r="R2" s="59"/>
      <c r="S2" s="3"/>
    </row>
    <row r="3" spans="2:19">
      <c r="B3" s="57" t="s">
        <v>67</v>
      </c>
      <c r="C3" s="55"/>
      <c r="D3" s="55"/>
      <c r="E3" s="55"/>
      <c r="F3"/>
      <c r="G3" s="55"/>
      <c r="H3"/>
      <c r="I3" s="116" t="s">
        <v>68</v>
      </c>
      <c r="J3" s="55"/>
      <c r="K3" s="55"/>
      <c r="L3" s="55"/>
      <c r="M3" s="52"/>
      <c r="N3" s="72"/>
      <c r="O3" s="55"/>
      <c r="P3" s="55"/>
      <c r="Q3"/>
      <c r="R3" s="55"/>
      <c r="S3"/>
    </row>
    <row r="4" spans="2:19">
      <c r="B4" s="37" t="s">
        <v>69</v>
      </c>
      <c r="C4" s="36">
        <f>1000/3.6</f>
        <v>277.77777777777777</v>
      </c>
      <c r="D4" s="40"/>
      <c r="F4" s="48"/>
      <c r="H4" s="48"/>
      <c r="M4" s="49"/>
      <c r="N4" s="47"/>
      <c r="Q4" s="48"/>
      <c r="S4" s="49"/>
    </row>
    <row r="5" spans="2:19">
      <c r="B5" s="37" t="s">
        <v>70</v>
      </c>
      <c r="C5" s="36">
        <f>2858/411</f>
        <v>6.9537712895377126</v>
      </c>
      <c r="F5" s="48"/>
      <c r="H5" s="48"/>
      <c r="I5" s="40" t="s">
        <v>71</v>
      </c>
      <c r="M5" s="49"/>
      <c r="N5" s="47"/>
      <c r="Q5" s="48"/>
      <c r="S5" s="49"/>
    </row>
    <row r="6" spans="2:19">
      <c r="B6" s="37" t="s">
        <v>72</v>
      </c>
      <c r="C6" s="36">
        <f>2858/210</f>
        <v>13.609523809523809</v>
      </c>
      <c r="F6" s="48"/>
      <c r="H6" s="48"/>
      <c r="I6" s="40" t="s">
        <v>71</v>
      </c>
      <c r="M6" s="49"/>
      <c r="N6" s="47"/>
      <c r="Q6" s="48"/>
      <c r="S6" s="49"/>
    </row>
    <row r="7" spans="2:19">
      <c r="B7" s="37" t="s">
        <v>73</v>
      </c>
      <c r="C7" s="36">
        <f>38.1*C4/1000</f>
        <v>10.583333333333334</v>
      </c>
      <c r="F7" s="48"/>
      <c r="H7" s="48"/>
      <c r="I7" s="40" t="s">
        <v>74</v>
      </c>
      <c r="M7" s="49"/>
      <c r="N7" s="47"/>
      <c r="Q7" s="75"/>
      <c r="S7" s="49"/>
    </row>
    <row r="8" spans="2:19">
      <c r="F8" s="48"/>
      <c r="H8" s="48"/>
      <c r="M8" s="49"/>
      <c r="N8" s="47"/>
      <c r="Q8" s="48"/>
      <c r="S8" s="49"/>
    </row>
    <row r="9" spans="2:19">
      <c r="B9" s="42" t="s">
        <v>75</v>
      </c>
      <c r="F9" s="48"/>
      <c r="H9" s="48"/>
      <c r="M9" s="49"/>
      <c r="N9" s="47"/>
      <c r="Q9" s="48"/>
      <c r="S9" s="49"/>
    </row>
    <row r="10" spans="2:19">
      <c r="B10" s="37" t="s">
        <v>76</v>
      </c>
      <c r="C10" s="41">
        <f>(0.0729+0.011)/1000</f>
        <v>8.3900000000000006E-5</v>
      </c>
      <c r="D10" s="35" t="s">
        <v>77</v>
      </c>
      <c r="F10" s="48"/>
      <c r="H10" s="48"/>
      <c r="I10" s="123" t="s">
        <v>78</v>
      </c>
      <c r="M10" s="49"/>
      <c r="N10" s="47"/>
      <c r="Q10" s="48"/>
      <c r="S10" s="49"/>
    </row>
    <row r="11" spans="2:19">
      <c r="B11" s="37" t="s">
        <v>79</v>
      </c>
      <c r="C11" s="41">
        <f>(0.195+0.012)/1000</f>
        <v>2.0700000000000002E-4</v>
      </c>
      <c r="D11" s="35" t="s">
        <v>77</v>
      </c>
      <c r="F11" s="48"/>
      <c r="H11" s="48"/>
      <c r="I11" s="123" t="s">
        <v>78</v>
      </c>
      <c r="M11" s="49"/>
      <c r="N11" s="47"/>
      <c r="Q11" s="48"/>
      <c r="S11" s="49"/>
    </row>
    <row r="12" spans="2:19">
      <c r="B12" s="37" t="s">
        <v>80</v>
      </c>
      <c r="C12" s="41">
        <f>2.97/C6/1000</f>
        <v>2.1822953114065781E-4</v>
      </c>
      <c r="F12" s="48"/>
      <c r="H12" s="48"/>
      <c r="I12" s="123" t="s">
        <v>78</v>
      </c>
      <c r="M12" s="49"/>
      <c r="N12" s="47"/>
      <c r="Q12" s="48"/>
      <c r="S12" s="49"/>
    </row>
    <row r="13" spans="2:19">
      <c r="B13" s="37" t="s">
        <v>81</v>
      </c>
      <c r="C13" s="41">
        <f>2.68/C7/1000</f>
        <v>2.5322834645669291E-4</v>
      </c>
      <c r="F13" s="48"/>
      <c r="H13" s="48"/>
      <c r="I13" s="123" t="s">
        <v>78</v>
      </c>
      <c r="M13" s="49"/>
      <c r="N13" s="47"/>
      <c r="Q13" s="48"/>
      <c r="S13" s="49"/>
    </row>
    <row r="14" spans="2:19">
      <c r="B14" s="58"/>
      <c r="C14" s="60"/>
      <c r="D14" s="62"/>
      <c r="E14" s="59"/>
      <c r="F14" s="3"/>
      <c r="G14" s="59"/>
      <c r="H14" s="3"/>
      <c r="I14" s="59"/>
      <c r="J14" s="59"/>
      <c r="K14" s="59"/>
      <c r="L14" s="59"/>
      <c r="M14" s="51"/>
      <c r="N14" s="73"/>
      <c r="O14" s="53"/>
      <c r="P14" s="53"/>
      <c r="Q14" s="76"/>
      <c r="R14" s="53"/>
      <c r="S14" s="3"/>
    </row>
    <row r="15" spans="2:19">
      <c r="B15" s="57" t="s">
        <v>82</v>
      </c>
      <c r="C15" s="61" t="s">
        <v>46</v>
      </c>
      <c r="D15" s="61" t="s">
        <v>83</v>
      </c>
      <c r="E15" s="63" t="s">
        <v>84</v>
      </c>
      <c r="F15" s="118" t="s">
        <v>85</v>
      </c>
      <c r="G15" s="55"/>
      <c r="H15"/>
      <c r="I15" s="55"/>
      <c r="J15" s="55"/>
      <c r="K15" s="55"/>
      <c r="L15" s="55"/>
      <c r="M15" s="56"/>
      <c r="N15" s="72"/>
      <c r="O15" s="55"/>
      <c r="P15" s="54"/>
      <c r="Q15"/>
      <c r="R15" s="55"/>
      <c r="S15"/>
    </row>
    <row r="16" spans="2:19">
      <c r="B16" s="37" t="s">
        <v>86</v>
      </c>
      <c r="C16" s="38">
        <f>11.4*C4</f>
        <v>3166.6666666666665</v>
      </c>
      <c r="D16" s="38">
        <f>13.5*C4</f>
        <v>3750</v>
      </c>
      <c r="E16" s="39">
        <f>17*C4</f>
        <v>4722.2222222222217</v>
      </c>
      <c r="F16" s="117"/>
      <c r="H16" s="48"/>
      <c r="I16" s="40" t="s">
        <v>87</v>
      </c>
      <c r="M16" s="49"/>
      <c r="N16" s="47"/>
      <c r="Q16" s="48"/>
      <c r="S16" s="49"/>
    </row>
    <row r="17" spans="2:19">
      <c r="B17" s="37" t="s">
        <v>88</v>
      </c>
      <c r="C17" s="41">
        <f>0.06696</f>
        <v>6.6960000000000006E-2</v>
      </c>
      <c r="D17" s="41">
        <f>0.06696</f>
        <v>6.6960000000000006E-2</v>
      </c>
      <c r="E17" s="41">
        <f>0.06696</f>
        <v>6.6960000000000006E-2</v>
      </c>
      <c r="F17" s="117"/>
      <c r="H17" s="48"/>
      <c r="I17" s="2" t="s">
        <v>89</v>
      </c>
      <c r="M17" s="49"/>
      <c r="N17" s="47"/>
      <c r="Q17" s="48"/>
      <c r="S17" s="49"/>
    </row>
    <row r="18" spans="2:19">
      <c r="B18" s="37"/>
      <c r="C18" s="41"/>
      <c r="D18" s="41"/>
      <c r="E18" s="40"/>
      <c r="F18" s="48"/>
      <c r="H18" s="48"/>
      <c r="M18" s="49"/>
      <c r="N18" s="47"/>
      <c r="Q18" s="48"/>
      <c r="S18" s="49"/>
    </row>
    <row r="19" spans="2:19">
      <c r="B19" s="42" t="s">
        <v>90</v>
      </c>
      <c r="C19" s="42" t="s">
        <v>47</v>
      </c>
      <c r="D19" s="42" t="s">
        <v>91</v>
      </c>
      <c r="E19" s="42" t="s">
        <v>92</v>
      </c>
      <c r="F19" s="64" t="s">
        <v>93</v>
      </c>
      <c r="G19" s="42" t="s">
        <v>85</v>
      </c>
      <c r="I19" s="48"/>
      <c r="M19" s="49"/>
      <c r="N19" s="47"/>
      <c r="Q19" s="48"/>
      <c r="S19" s="49"/>
    </row>
    <row r="20" spans="2:19">
      <c r="B20" s="37" t="s">
        <v>94</v>
      </c>
      <c r="C20" s="38">
        <v>29870</v>
      </c>
      <c r="D20" s="38">
        <v>21590</v>
      </c>
      <c r="E20" s="38">
        <v>15260</v>
      </c>
      <c r="F20" s="65">
        <v>25730</v>
      </c>
      <c r="G20" s="43"/>
      <c r="I20" s="69" t="s">
        <v>95</v>
      </c>
      <c r="M20" s="49"/>
      <c r="N20" s="47"/>
      <c r="Q20" s="48"/>
      <c r="S20" s="49"/>
    </row>
    <row r="21" spans="2:19">
      <c r="B21" s="37" t="s">
        <v>96</v>
      </c>
      <c r="C21" s="38">
        <f>C20*$C$4/1000</f>
        <v>8297.2222222222226</v>
      </c>
      <c r="D21" s="38">
        <f t="shared" ref="D21:F21" si="0">D20*$C$4/1000</f>
        <v>5997.2222222222217</v>
      </c>
      <c r="E21" s="38">
        <f t="shared" si="0"/>
        <v>4238.8888888888887</v>
      </c>
      <c r="F21" s="65">
        <f t="shared" si="0"/>
        <v>7147.2222222222217</v>
      </c>
      <c r="G21" s="43"/>
      <c r="I21" s="48"/>
      <c r="M21" s="49"/>
      <c r="N21" s="47"/>
      <c r="Q21" s="48"/>
      <c r="S21" s="49"/>
    </row>
    <row r="22" spans="2:19" ht="15" customHeight="1">
      <c r="B22" s="37" t="s">
        <v>97</v>
      </c>
      <c r="C22" s="36">
        <v>2.66</v>
      </c>
      <c r="D22" s="36">
        <v>2</v>
      </c>
      <c r="E22" s="36">
        <v>1.43</v>
      </c>
      <c r="F22" s="66">
        <v>2.34</v>
      </c>
      <c r="G22" s="43"/>
      <c r="I22" s="123" t="s">
        <v>78</v>
      </c>
      <c r="J22" s="44"/>
      <c r="K22" s="44"/>
      <c r="L22" s="44"/>
      <c r="M22" s="68"/>
      <c r="N22" s="74"/>
      <c r="O22" s="44"/>
      <c r="P22" s="44"/>
      <c r="Q22" s="70"/>
      <c r="R22" s="44"/>
      <c r="S22" s="68"/>
    </row>
    <row r="23" spans="2:19">
      <c r="B23" s="37" t="s">
        <v>98</v>
      </c>
      <c r="C23" s="41">
        <f>C22/C21</f>
        <v>3.2058921995313023E-4</v>
      </c>
      <c r="D23" s="41">
        <f t="shared" ref="D23:F23" si="1">D22/D21</f>
        <v>3.3348772579898102E-4</v>
      </c>
      <c r="E23" s="41">
        <f t="shared" si="1"/>
        <v>3.3735255570117954E-4</v>
      </c>
      <c r="F23" s="67">
        <f t="shared" si="1"/>
        <v>3.2739992226972405E-4</v>
      </c>
      <c r="G23" s="43"/>
      <c r="H23" s="70"/>
      <c r="I23" s="44"/>
      <c r="J23" s="44"/>
      <c r="K23" s="44"/>
      <c r="L23" s="44"/>
      <c r="M23" s="68"/>
      <c r="N23" s="74"/>
      <c r="O23" s="44"/>
      <c r="P23" s="44"/>
      <c r="Q23" s="70"/>
      <c r="R23" s="44"/>
      <c r="S23" s="68"/>
    </row>
    <row r="24" spans="2:19">
      <c r="B24" s="59"/>
      <c r="C24" s="59"/>
      <c r="D24" s="59"/>
      <c r="E24" s="59"/>
      <c r="F24" s="3"/>
      <c r="G24" s="59"/>
      <c r="H24" s="3"/>
      <c r="I24" s="59"/>
      <c r="J24" s="59"/>
      <c r="K24" s="59"/>
      <c r="L24" s="53"/>
      <c r="M24" s="51"/>
      <c r="N24" s="73"/>
      <c r="O24" s="53"/>
      <c r="P24" s="53"/>
      <c r="Q24" s="76"/>
      <c r="R24" s="53"/>
      <c r="S24" s="3"/>
    </row>
    <row r="25" spans="2:19">
      <c r="B25" s="57" t="s">
        <v>99</v>
      </c>
      <c r="C25" s="55" t="s">
        <v>100</v>
      </c>
      <c r="D25" s="55"/>
      <c r="E25" s="55"/>
      <c r="F25"/>
      <c r="G25" s="55"/>
      <c r="I25" s="2" t="s">
        <v>101</v>
      </c>
      <c r="J25" s="50"/>
      <c r="K25" s="50"/>
      <c r="L25" s="55"/>
      <c r="M25" s="56"/>
      <c r="N25" s="72"/>
      <c r="O25" s="55"/>
      <c r="P25" s="55"/>
      <c r="Q25"/>
      <c r="R25" s="54"/>
      <c r="S25"/>
    </row>
    <row r="26" spans="2:19">
      <c r="B26" s="42" t="s">
        <v>102</v>
      </c>
      <c r="C26" s="122">
        <v>45454</v>
      </c>
      <c r="F26" s="48"/>
      <c r="H26" s="48"/>
      <c r="M26" s="49"/>
      <c r="N26" s="47"/>
      <c r="Q26" s="48"/>
      <c r="S26" s="49"/>
    </row>
    <row r="27" spans="2:19">
      <c r="F27" s="47"/>
      <c r="H27" s="49"/>
      <c r="M27" s="49"/>
      <c r="N27" s="47"/>
      <c r="Q27" s="48"/>
      <c r="S27" s="49"/>
    </row>
    <row r="28" spans="2:19">
      <c r="C28" s="36"/>
      <c r="F28" s="47"/>
      <c r="H28" s="49"/>
      <c r="M28" s="49"/>
      <c r="Q28" s="48"/>
      <c r="S28" s="49"/>
    </row>
    <row r="29" spans="2:19">
      <c r="M29" s="49"/>
      <c r="Q29" s="47"/>
      <c r="S29" s="49"/>
    </row>
    <row r="30" spans="2:19">
      <c r="M30" s="49"/>
    </row>
  </sheetData>
  <sheetProtection algorithmName="SHA-512" hashValue="Feal9sKj5Y5j4ogax0NqD5y1mKnOJ/LMTAxZkheCdHkgf/UkDKPfVzbmjaAzNXMUbigxAH61jJ36vya7swtz3A==" saltValue="OJ7S5x11LBNNd5Y7HG9S3A==" spinCount="100000" sheet="1" objects="1" scenarios="1"/>
  <hyperlinks>
    <hyperlink ref="I5" r:id="rId1" xr:uid="{141CA5CF-FBAE-4A66-82DC-26D6C705FE58}"/>
    <hyperlink ref="I6" r:id="rId2" xr:uid="{6E175DCC-0CE2-4ACB-8984-A96FAD0BD17B}"/>
    <hyperlink ref="I16" r:id="rId3" xr:uid="{017825D7-9210-4714-A6C1-B10FF087C666}"/>
    <hyperlink ref="I25" r:id="rId4" xr:uid="{B53D130D-8D43-4B87-8461-0638E2019086}"/>
    <hyperlink ref="I7" r:id="rId5" xr:uid="{844CBFE5-9624-4B18-BF7D-C0CC2AC59682}"/>
    <hyperlink ref="I17" r:id="rId6" display="https://environment.govt.nz/publications/measuring-emissions-a-guide-for-organisations-2023-emission-factors-summary/" xr:uid="{B09D0405-3C07-4539-BF06-1A78BF71439D}"/>
    <hyperlink ref="I22" r:id="rId7" xr:uid="{96FB37E1-F0BD-4830-8D62-046E14550248}"/>
    <hyperlink ref="I10" r:id="rId8" xr:uid="{50FA8099-1327-4123-A9E4-DC9E84D6C9CB}"/>
    <hyperlink ref="I11:I13" r:id="rId9" display="Measuring emissions: A guide for organisations: 2024 emission factors summary | Ministry for the Environment" xr:uid="{5A904F2C-04F1-4459-810C-ED851898A1AC}"/>
  </hyperlinks>
  <pageMargins left="0.7" right="0.7" top="0.75" bottom="0.75" header="0.3" footer="0.3"/>
  <pageSetup orientation="portrait"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7EBA7-099E-4319-8C19-AEFA02CC8B08}">
  <dimension ref="B3:AA35"/>
  <sheetViews>
    <sheetView showGridLines="0" workbookViewId="0">
      <selection activeCell="C26" sqref="C26"/>
    </sheetView>
  </sheetViews>
  <sheetFormatPr defaultRowHeight="14.45"/>
  <cols>
    <col min="2" max="9" width="11.5703125" customWidth="1"/>
    <col min="10" max="10" width="10.28515625" customWidth="1"/>
    <col min="11" max="11" width="12" customWidth="1"/>
    <col min="12" max="12" width="12.28515625" customWidth="1"/>
    <col min="13" max="13" width="14.85546875" customWidth="1"/>
    <col min="14" max="14" width="12.85546875" customWidth="1"/>
    <col min="16" max="16" width="10.140625" customWidth="1"/>
    <col min="17" max="17" width="9.28515625" customWidth="1"/>
    <col min="18" max="18" width="12.42578125" customWidth="1"/>
  </cols>
  <sheetData>
    <row r="3" spans="2:27" ht="33.75" customHeight="1">
      <c r="B3" s="5"/>
      <c r="C3" s="6" t="s">
        <v>103</v>
      </c>
      <c r="D3" s="7"/>
      <c r="E3" s="7"/>
      <c r="F3" s="7"/>
      <c r="G3" s="7"/>
      <c r="H3" s="7"/>
      <c r="I3" s="8"/>
      <c r="J3" s="1"/>
      <c r="K3" s="1"/>
      <c r="L3" s="1"/>
      <c r="M3" s="1"/>
      <c r="N3" s="1"/>
      <c r="O3" s="1"/>
      <c r="P3" s="1"/>
      <c r="Q3" s="1"/>
      <c r="R3" s="1"/>
      <c r="S3" s="1"/>
      <c r="T3" s="1"/>
      <c r="U3" s="1"/>
      <c r="V3" s="1"/>
      <c r="W3" s="1"/>
      <c r="X3" s="1"/>
      <c r="Y3" s="1"/>
      <c r="Z3" s="1"/>
      <c r="AA3" s="1"/>
    </row>
    <row r="4" spans="2:27" ht="36.75" customHeight="1">
      <c r="B4" s="9" t="s">
        <v>104</v>
      </c>
      <c r="C4" s="10" t="str">
        <f>IF(C18&lt;0.5%,"","Electricity")</f>
        <v>Electricity</v>
      </c>
      <c r="D4" s="10" t="str">
        <f>IF(D18&lt;0.5%,"","Natural Gas")</f>
        <v>Natural Gas</v>
      </c>
      <c r="E4" s="10" t="str">
        <f>IF(E18&lt;0.5%,"","LPG")</f>
        <v/>
      </c>
      <c r="F4" s="10" t="str">
        <f>IF(F18&lt;0.5%,"","Diesel")</f>
        <v/>
      </c>
      <c r="G4" s="10" t="str">
        <f>IF(G18&lt;0.5%,"","Biomass")</f>
        <v/>
      </c>
      <c r="H4" s="10" t="str">
        <f>IF(H18&lt;0.5%,"","Coal")</f>
        <v/>
      </c>
      <c r="I4" s="11"/>
      <c r="J4" s="1"/>
    </row>
    <row r="5" spans="2:27" ht="15">
      <c r="B5" s="12">
        <f>'Energy Calculator'!B45</f>
        <v>44927</v>
      </c>
      <c r="C5" s="13">
        <f>'Energy Calculator'!C21*Parameters!$C$10</f>
        <v>1.2585000000000002</v>
      </c>
      <c r="D5" s="13">
        <f>IF('Energy Calculator'!$D$20="(GJ)",'Energy Calculator'!D21*Parameters!$C$4, 'Energy Calculator'!D21)*Parameters!$C$11</f>
        <v>11.5</v>
      </c>
      <c r="E5" s="13" cm="1">
        <f t="array" ref="E5">_xlfn.IFS('Energy Calculator'!$E$20 ="(GJ)",'Energy Calculator'!E21*Parameters!$C$4,'Energy Calculator'!$E$20="(L)",'Energy Calculator'!E21*Parameters!$C$5,'Energy Calculator'!$E$20="(kg)",'Energy Calculator'!E21*Parameters!$C$6,1,'Energy Calculator'!E21)*Parameters!$C$12</f>
        <v>0</v>
      </c>
      <c r="F5" s="13">
        <f>'Energy Calculator'!F21*Parameters!$C$7*Parameters!$C$13</f>
        <v>0</v>
      </c>
      <c r="G5" s="13">
        <f>'Energy Calculator'!G21*_xlfn.XLOOKUP('Energy Calculator'!$G$20,Parameters!$C$15:$F$15,Parameters!$C$17:$F$17)</f>
        <v>0</v>
      </c>
      <c r="H5" s="13">
        <f>'Energy Calculator'!H21*_xlfn.XLOOKUP('Energy Calculator'!$H$20,Parameters!$C$19:$G$19,Parameters!$C$21:$G$21)*_xlfn.XLOOKUP('Energy Calculator'!$H$20,Parameters!$C$19:$G$19,Parameters!$C$23:$G$23)</f>
        <v>0</v>
      </c>
      <c r="I5" s="17">
        <f>SUM(C5:H5)</f>
        <v>12.7585</v>
      </c>
      <c r="J5" s="1"/>
    </row>
    <row r="6" spans="2:27" ht="15">
      <c r="B6" s="12">
        <f>'Energy Calculator'!B46</f>
        <v>44958</v>
      </c>
      <c r="C6" s="13">
        <f>'Energy Calculator'!C22*Parameters!$C$10</f>
        <v>1.2585000000000002</v>
      </c>
      <c r="D6" s="13">
        <f>IF('Energy Calculator'!$D$20="(GJ)",'Energy Calculator'!D22*Parameters!$C$4, 'Energy Calculator'!D22)*Parameters!$C$11</f>
        <v>11.5</v>
      </c>
      <c r="E6" s="13" cm="1">
        <f t="array" ref="E6">_xlfn.IFS('Energy Calculator'!$E$20 ="(GJ)",'Energy Calculator'!E22*Parameters!$C$4,'Energy Calculator'!$E$20="(L)",'Energy Calculator'!E22*Parameters!$C$5,'Energy Calculator'!$E$20="(kg)",'Energy Calculator'!E22*Parameters!$C$6,1,'Energy Calculator'!E22)*Parameters!$C$12</f>
        <v>0</v>
      </c>
      <c r="F6" s="13">
        <f>'Energy Calculator'!F22*Parameters!$C$7*Parameters!$C$13</f>
        <v>0</v>
      </c>
      <c r="G6" s="13">
        <f>'Energy Calculator'!G22*_xlfn.XLOOKUP('Energy Calculator'!$G$20,Parameters!$C$15:$F$15,Parameters!$C$17:$F$17)</f>
        <v>0</v>
      </c>
      <c r="H6" s="13">
        <f>'Energy Calculator'!H22*_xlfn.XLOOKUP('Energy Calculator'!$H$20,Parameters!$C$19:$G$19,Parameters!$C$21:$G$21)*_xlfn.XLOOKUP('Energy Calculator'!$H$20,Parameters!$C$19:$G$19,Parameters!$C$23:$G$23)</f>
        <v>0</v>
      </c>
      <c r="I6" s="17">
        <f t="shared" ref="I6:I16" si="0">SUM(C6:H6)</f>
        <v>12.7585</v>
      </c>
      <c r="J6" s="1"/>
    </row>
    <row r="7" spans="2:27" ht="15">
      <c r="B7" s="12">
        <f>'Energy Calculator'!B47</f>
        <v>44986</v>
      </c>
      <c r="C7" s="13">
        <f>'Energy Calculator'!C23*Parameters!$C$10</f>
        <v>0.83900000000000008</v>
      </c>
      <c r="D7" s="13">
        <f>IF('Energy Calculator'!$D$20="(GJ)",'Energy Calculator'!D23*Parameters!$C$4, 'Energy Calculator'!D23)*Parameters!$C$11</f>
        <v>17.25</v>
      </c>
      <c r="E7" s="13" cm="1">
        <f t="array" ref="E7">_xlfn.IFS('Energy Calculator'!$E$20 ="(GJ)",'Energy Calculator'!E23*Parameters!$C$4,'Energy Calculator'!$E$20="(L)",'Energy Calculator'!E23*Parameters!$C$5,'Energy Calculator'!$E$20="(kg)",'Energy Calculator'!E23*Parameters!$C$6,1,'Energy Calculator'!E23)*Parameters!$C$12</f>
        <v>0</v>
      </c>
      <c r="F7" s="13">
        <f>'Energy Calculator'!F23*Parameters!$C$7*Parameters!$C$13</f>
        <v>0</v>
      </c>
      <c r="G7" s="13">
        <f>'Energy Calculator'!G23*_xlfn.XLOOKUP('Energy Calculator'!$G$20,Parameters!$C$15:$F$15,Parameters!$C$17:$F$17)</f>
        <v>0</v>
      </c>
      <c r="H7" s="13">
        <f>'Energy Calculator'!H23*_xlfn.XLOOKUP('Energy Calculator'!$H$20,Parameters!$C$19:$G$19,Parameters!$C$21:$G$21)*_xlfn.XLOOKUP('Energy Calculator'!$H$20,Parameters!$C$19:$G$19,Parameters!$C$23:$G$23)</f>
        <v>0</v>
      </c>
      <c r="I7" s="17">
        <f t="shared" si="0"/>
        <v>18.088999999999999</v>
      </c>
      <c r="J7" s="1"/>
    </row>
    <row r="8" spans="2:27" ht="15">
      <c r="B8" s="12">
        <f>'Energy Calculator'!B48</f>
        <v>45017</v>
      </c>
      <c r="C8" s="13">
        <f>'Energy Calculator'!C24*Parameters!$C$10</f>
        <v>0.83900000000000008</v>
      </c>
      <c r="D8" s="13">
        <f>IF('Energy Calculator'!$D$20="(GJ)",'Energy Calculator'!D24*Parameters!$C$4, 'Energy Calculator'!D24)*Parameters!$C$11</f>
        <v>17.25</v>
      </c>
      <c r="E8" s="13" cm="1">
        <f t="array" ref="E8">_xlfn.IFS('Energy Calculator'!$E$20 ="(GJ)",'Energy Calculator'!E24*Parameters!$C$4,'Energy Calculator'!$E$20="(L)",'Energy Calculator'!E24*Parameters!$C$5,'Energy Calculator'!$E$20="(kg)",'Energy Calculator'!E24*Parameters!$C$6,1,'Energy Calculator'!E24)*Parameters!$C$12</f>
        <v>0</v>
      </c>
      <c r="F8" s="13">
        <f>'Energy Calculator'!F24*Parameters!$C$7*Parameters!$C$13</f>
        <v>0</v>
      </c>
      <c r="G8" s="13">
        <f>'Energy Calculator'!G24*_xlfn.XLOOKUP('Energy Calculator'!$G$20,Parameters!$C$15:$F$15,Parameters!$C$17:$F$17)</f>
        <v>0</v>
      </c>
      <c r="H8" s="13">
        <f>'Energy Calculator'!H24*_xlfn.XLOOKUP('Energy Calculator'!$H$20,Parameters!$C$19:$G$19,Parameters!$C$21:$G$21)*_xlfn.XLOOKUP('Energy Calculator'!$H$20,Parameters!$C$19:$G$19,Parameters!$C$23:$G$23)</f>
        <v>0</v>
      </c>
      <c r="I8" s="17">
        <f t="shared" si="0"/>
        <v>18.088999999999999</v>
      </c>
      <c r="J8" s="1"/>
    </row>
    <row r="9" spans="2:27" ht="15">
      <c r="B9" s="12">
        <f>'Energy Calculator'!B49</f>
        <v>45047</v>
      </c>
      <c r="C9" s="13">
        <f>'Energy Calculator'!C25*Parameters!$C$10</f>
        <v>0.83900000000000008</v>
      </c>
      <c r="D9" s="13">
        <f>IF('Energy Calculator'!$D$20="(GJ)",'Energy Calculator'!D25*Parameters!$C$4, 'Energy Calculator'!D25)*Parameters!$C$11</f>
        <v>23</v>
      </c>
      <c r="E9" s="13" cm="1">
        <f t="array" ref="E9">_xlfn.IFS('Energy Calculator'!$E$20 ="(GJ)",'Energy Calculator'!E25*Parameters!$C$4,'Energy Calculator'!$E$20="(L)",'Energy Calculator'!E25*Parameters!$C$5,'Energy Calculator'!$E$20="(kg)",'Energy Calculator'!E25*Parameters!$C$6,1,'Energy Calculator'!E25)*Parameters!$C$12</f>
        <v>0</v>
      </c>
      <c r="F9" s="13">
        <f>'Energy Calculator'!F25*Parameters!$C$7*Parameters!$C$13</f>
        <v>0</v>
      </c>
      <c r="G9" s="13">
        <f>'Energy Calculator'!G25*_xlfn.XLOOKUP('Energy Calculator'!$G$20,Parameters!$C$15:$F$15,Parameters!$C$17:$F$17)</f>
        <v>0</v>
      </c>
      <c r="H9" s="13">
        <f>'Energy Calculator'!H25*_xlfn.XLOOKUP('Energy Calculator'!$H$20,Parameters!$C$19:$G$19,Parameters!$C$21:$G$21)*_xlfn.XLOOKUP('Energy Calculator'!$H$20,Parameters!$C$19:$G$19,Parameters!$C$23:$G$23)</f>
        <v>0</v>
      </c>
      <c r="I9" s="17">
        <f t="shared" si="0"/>
        <v>23.838999999999999</v>
      </c>
      <c r="J9" s="1"/>
    </row>
    <row r="10" spans="2:27" ht="15">
      <c r="B10" s="12">
        <f>'Energy Calculator'!B50</f>
        <v>45078</v>
      </c>
      <c r="C10" s="13">
        <f>'Energy Calculator'!C26*Parameters!$C$10</f>
        <v>0.83900000000000008</v>
      </c>
      <c r="D10" s="13">
        <f>IF('Energy Calculator'!$D$20="(GJ)",'Energy Calculator'!D26*Parameters!$C$4, 'Energy Calculator'!D26)*Parameters!$C$11</f>
        <v>28.75</v>
      </c>
      <c r="E10" s="13" cm="1">
        <f t="array" ref="E10">_xlfn.IFS('Energy Calculator'!$E$20 ="(GJ)",'Energy Calculator'!E26*Parameters!$C$4,'Energy Calculator'!$E$20="(L)",'Energy Calculator'!E26*Parameters!$C$5,'Energy Calculator'!$E$20="(kg)",'Energy Calculator'!E26*Parameters!$C$6,1,'Energy Calculator'!E26)*Parameters!$C$12</f>
        <v>0</v>
      </c>
      <c r="F10" s="13">
        <f>'Energy Calculator'!F26*Parameters!$C$7*Parameters!$C$13</f>
        <v>0</v>
      </c>
      <c r="G10" s="13">
        <f>'Energy Calculator'!G26*_xlfn.XLOOKUP('Energy Calculator'!$G$20,Parameters!$C$15:$F$15,Parameters!$C$17:$F$17)</f>
        <v>0</v>
      </c>
      <c r="H10" s="13">
        <f>'Energy Calculator'!H26*_xlfn.XLOOKUP('Energy Calculator'!$H$20,Parameters!$C$19:$G$19,Parameters!$C$21:$G$21)*_xlfn.XLOOKUP('Energy Calculator'!$H$20,Parameters!$C$19:$G$19,Parameters!$C$23:$G$23)</f>
        <v>0</v>
      </c>
      <c r="I10" s="17">
        <f t="shared" si="0"/>
        <v>29.588999999999999</v>
      </c>
      <c r="J10" s="1"/>
    </row>
    <row r="11" spans="2:27" ht="15">
      <c r="B11" s="12">
        <f>'Energy Calculator'!B51</f>
        <v>45108</v>
      </c>
      <c r="C11" s="13">
        <f>'Energy Calculator'!C27*Parameters!$C$10</f>
        <v>0.83900000000000008</v>
      </c>
      <c r="D11" s="13">
        <f>IF('Energy Calculator'!$D$20="(GJ)",'Energy Calculator'!D27*Parameters!$C$4, 'Energy Calculator'!D27)*Parameters!$C$11</f>
        <v>28.75</v>
      </c>
      <c r="E11" s="13" cm="1">
        <f t="array" ref="E11">_xlfn.IFS('Energy Calculator'!$E$20 ="(GJ)",'Energy Calculator'!E27*Parameters!$C$4,'Energy Calculator'!$E$20="(L)",'Energy Calculator'!E27*Parameters!$C$5,'Energy Calculator'!$E$20="(kg)",'Energy Calculator'!E27*Parameters!$C$6,1,'Energy Calculator'!E27)*Parameters!$C$12</f>
        <v>0</v>
      </c>
      <c r="F11" s="13">
        <f>'Energy Calculator'!F27*Parameters!$C$7*Parameters!$C$13</f>
        <v>0</v>
      </c>
      <c r="G11" s="13">
        <f>'Energy Calculator'!G27*_xlfn.XLOOKUP('Energy Calculator'!$G$20,Parameters!$C$15:$F$15,Parameters!$C$17:$F$17)</f>
        <v>0</v>
      </c>
      <c r="H11" s="13">
        <f>'Energy Calculator'!H27*_xlfn.XLOOKUP('Energy Calculator'!$H$20,Parameters!$C$19:$G$19,Parameters!$C$21:$G$21)*_xlfn.XLOOKUP('Energy Calculator'!$H$20,Parameters!$C$19:$G$19,Parameters!$C$23:$G$23)</f>
        <v>0</v>
      </c>
      <c r="I11" s="17">
        <f t="shared" si="0"/>
        <v>29.588999999999999</v>
      </c>
      <c r="J11" s="1"/>
    </row>
    <row r="12" spans="2:27" ht="15">
      <c r="B12" s="12">
        <f>'Energy Calculator'!B52</f>
        <v>45139</v>
      </c>
      <c r="C12" s="13">
        <f>'Energy Calculator'!C28*Parameters!$C$10</f>
        <v>0.83900000000000008</v>
      </c>
      <c r="D12" s="13">
        <f>IF('Energy Calculator'!$D$20="(GJ)",'Energy Calculator'!D28*Parameters!$C$4, 'Energy Calculator'!D28)*Parameters!$C$11</f>
        <v>28.75</v>
      </c>
      <c r="E12" s="13" cm="1">
        <f t="array" ref="E12">_xlfn.IFS('Energy Calculator'!$E$20 ="(GJ)",'Energy Calculator'!E28*Parameters!$C$4,'Energy Calculator'!$E$20="(L)",'Energy Calculator'!E28*Parameters!$C$5,'Energy Calculator'!$E$20="(kg)",'Energy Calculator'!E28*Parameters!$C$6,1,'Energy Calculator'!E28)*Parameters!$C$12</f>
        <v>0</v>
      </c>
      <c r="F12" s="13">
        <f>'Energy Calculator'!F28*Parameters!$C$7*Parameters!$C$13</f>
        <v>0</v>
      </c>
      <c r="G12" s="13">
        <f>'Energy Calculator'!G28*_xlfn.XLOOKUP('Energy Calculator'!$G$20,Parameters!$C$15:$F$15,Parameters!$C$17:$F$17)</f>
        <v>0</v>
      </c>
      <c r="H12" s="13">
        <f>'Energy Calculator'!H28*_xlfn.XLOOKUP('Energy Calculator'!$H$20,Parameters!$C$19:$G$19,Parameters!$C$21:$G$21)*_xlfn.XLOOKUP('Energy Calculator'!$H$20,Parameters!$C$19:$G$19,Parameters!$C$23:$G$23)</f>
        <v>0</v>
      </c>
      <c r="I12" s="17">
        <f t="shared" si="0"/>
        <v>29.588999999999999</v>
      </c>
      <c r="J12" s="1"/>
    </row>
    <row r="13" spans="2:27" ht="15">
      <c r="B13" s="12">
        <f>'Energy Calculator'!B53</f>
        <v>45170</v>
      </c>
      <c r="C13" s="13">
        <f>'Energy Calculator'!C29*Parameters!$C$10</f>
        <v>0.83900000000000008</v>
      </c>
      <c r="D13" s="13">
        <f>IF('Energy Calculator'!$D$20="(GJ)",'Energy Calculator'!D29*Parameters!$C$4, 'Energy Calculator'!D29)*Parameters!$C$11</f>
        <v>23</v>
      </c>
      <c r="E13" s="13" cm="1">
        <f t="array" ref="E13">_xlfn.IFS('Energy Calculator'!$E$20 ="(GJ)",'Energy Calculator'!E29*Parameters!$C$4,'Energy Calculator'!$E$20="(L)",'Energy Calculator'!E29*Parameters!$C$5,'Energy Calculator'!$E$20="(kg)",'Energy Calculator'!E29*Parameters!$C$6,1,'Energy Calculator'!E29)*Parameters!$C$12</f>
        <v>0</v>
      </c>
      <c r="F13" s="13">
        <f>'Energy Calculator'!F29*Parameters!$C$7*Parameters!$C$13</f>
        <v>0</v>
      </c>
      <c r="G13" s="13">
        <f>'Energy Calculator'!G29*_xlfn.XLOOKUP('Energy Calculator'!$G$20,Parameters!$C$15:$F$15,Parameters!$C$17:$F$17)</f>
        <v>0</v>
      </c>
      <c r="H13" s="13">
        <f>'Energy Calculator'!H29*_xlfn.XLOOKUP('Energy Calculator'!$H$20,Parameters!$C$19:$G$19,Parameters!$C$21:$G$21)*_xlfn.XLOOKUP('Energy Calculator'!$H$20,Parameters!$C$19:$G$19,Parameters!$C$23:$G$23)</f>
        <v>0</v>
      </c>
      <c r="I13" s="17">
        <f t="shared" si="0"/>
        <v>23.838999999999999</v>
      </c>
      <c r="J13" s="1"/>
    </row>
    <row r="14" spans="2:27" ht="15">
      <c r="B14" s="12">
        <f>'Energy Calculator'!B54</f>
        <v>45200</v>
      </c>
      <c r="C14" s="13">
        <f>'Energy Calculator'!C30*Parameters!$C$10</f>
        <v>0.83900000000000008</v>
      </c>
      <c r="D14" s="13">
        <f>IF('Energy Calculator'!$D$20="(GJ)",'Energy Calculator'!D30*Parameters!$C$4, 'Energy Calculator'!D30)*Parameters!$C$11</f>
        <v>17.25</v>
      </c>
      <c r="E14" s="13" cm="1">
        <f t="array" ref="E14">_xlfn.IFS('Energy Calculator'!$E$20 ="(GJ)",'Energy Calculator'!E30*Parameters!$C$4,'Energy Calculator'!$E$20="(L)",'Energy Calculator'!E30*Parameters!$C$5,'Energy Calculator'!$E$20="(kg)",'Energy Calculator'!E30*Parameters!$C$6,1,'Energy Calculator'!E30)*Parameters!$C$12</f>
        <v>0</v>
      </c>
      <c r="F14" s="13">
        <f>'Energy Calculator'!F30*Parameters!$C$7*Parameters!$C$13</f>
        <v>0</v>
      </c>
      <c r="G14" s="13">
        <f>'Energy Calculator'!G30*_xlfn.XLOOKUP('Energy Calculator'!$G$20,Parameters!$C$15:$F$15,Parameters!$C$17:$F$17)</f>
        <v>0</v>
      </c>
      <c r="H14" s="13">
        <f>'Energy Calculator'!H30*_xlfn.XLOOKUP('Energy Calculator'!$H$20,Parameters!$C$19:$G$19,Parameters!$C$21:$G$21)*_xlfn.XLOOKUP('Energy Calculator'!$H$20,Parameters!$C$19:$G$19,Parameters!$C$23:$G$23)</f>
        <v>0</v>
      </c>
      <c r="I14" s="17">
        <f t="shared" si="0"/>
        <v>18.088999999999999</v>
      </c>
      <c r="J14" s="1"/>
    </row>
    <row r="15" spans="2:27" ht="15">
      <c r="B15" s="12">
        <f>'Energy Calculator'!B55</f>
        <v>45231</v>
      </c>
      <c r="C15" s="13">
        <f>'Energy Calculator'!C31*Parameters!$C$10</f>
        <v>1.2585000000000002</v>
      </c>
      <c r="D15" s="13">
        <f>IF('Energy Calculator'!$D$20="(GJ)",'Energy Calculator'!D31*Parameters!$C$4, 'Energy Calculator'!D31)*Parameters!$C$11</f>
        <v>11.5</v>
      </c>
      <c r="E15" s="13" cm="1">
        <f t="array" ref="E15">_xlfn.IFS('Energy Calculator'!$E$20 ="(GJ)",'Energy Calculator'!E31*Parameters!$C$4,'Energy Calculator'!$E$20="(L)",'Energy Calculator'!E31*Parameters!$C$5,'Energy Calculator'!$E$20="(kg)",'Energy Calculator'!E31*Parameters!$C$6,1,'Energy Calculator'!E31)*Parameters!$C$12</f>
        <v>0</v>
      </c>
      <c r="F15" s="13">
        <f>'Energy Calculator'!F31*Parameters!$C$7*Parameters!$C$13</f>
        <v>0</v>
      </c>
      <c r="G15" s="13">
        <f>'Energy Calculator'!G31*_xlfn.XLOOKUP('Energy Calculator'!$G$20,Parameters!$C$15:$F$15,Parameters!$C$17:$F$17)</f>
        <v>0</v>
      </c>
      <c r="H15" s="13">
        <f>'Energy Calculator'!H31*_xlfn.XLOOKUP('Energy Calculator'!$H$20,Parameters!$C$19:$G$19,Parameters!$C$21:$G$21)*_xlfn.XLOOKUP('Energy Calculator'!$H$20,Parameters!$C$19:$G$19,Parameters!$C$23:$G$23)</f>
        <v>0</v>
      </c>
      <c r="I15" s="17">
        <f t="shared" si="0"/>
        <v>12.7585</v>
      </c>
      <c r="J15" s="1"/>
    </row>
    <row r="16" spans="2:27" ht="15">
      <c r="B16" s="12">
        <f>'Energy Calculator'!B56</f>
        <v>45261</v>
      </c>
      <c r="C16" s="13">
        <f>'Energy Calculator'!C32*Parameters!$C$10</f>
        <v>1.2585000000000002</v>
      </c>
      <c r="D16" s="13">
        <f>IF('Energy Calculator'!$D$20="(GJ)",'Energy Calculator'!D32*Parameters!$C$4, 'Energy Calculator'!D32)*Parameters!$C$11</f>
        <v>5.75</v>
      </c>
      <c r="E16" s="13" cm="1">
        <f t="array" ref="E16">_xlfn.IFS('Energy Calculator'!$E$20 ="(GJ)",'Energy Calculator'!E32*Parameters!$C$4,'Energy Calculator'!$E$20="(L)",'Energy Calculator'!E32*Parameters!$C$5,'Energy Calculator'!$E$20="(kg)",'Energy Calculator'!E32*Parameters!$C$6,1,'Energy Calculator'!E32)*Parameters!$C$12</f>
        <v>0</v>
      </c>
      <c r="F16" s="13">
        <f>'Energy Calculator'!F32*Parameters!$C$7*Parameters!$C$13</f>
        <v>0</v>
      </c>
      <c r="G16" s="13">
        <f>'Energy Calculator'!G32*_xlfn.XLOOKUP('Energy Calculator'!$G$20,Parameters!$C$15:$F$15,Parameters!$C$17:$F$17)</f>
        <v>0</v>
      </c>
      <c r="H16" s="13">
        <f>'Energy Calculator'!H32*_xlfn.XLOOKUP('Energy Calculator'!$H$20,Parameters!$C$19:$G$19,Parameters!$C$21:$G$21)*_xlfn.XLOOKUP('Energy Calculator'!$H$20,Parameters!$C$19:$G$19,Parameters!$C$23:$G$23)</f>
        <v>0</v>
      </c>
      <c r="I16" s="17">
        <f t="shared" si="0"/>
        <v>7.0084999999999997</v>
      </c>
      <c r="J16" s="1"/>
    </row>
    <row r="17" spans="2:27" ht="15">
      <c r="B17" s="15" t="s">
        <v>48</v>
      </c>
      <c r="C17" s="16">
        <f t="shared" ref="C17:H17" si="1">SUM(C5:C16)</f>
        <v>11.746000000000002</v>
      </c>
      <c r="D17" s="16">
        <f t="shared" si="1"/>
        <v>224.25</v>
      </c>
      <c r="E17" s="16">
        <f t="shared" si="1"/>
        <v>0</v>
      </c>
      <c r="F17" s="16">
        <f t="shared" si="1"/>
        <v>0</v>
      </c>
      <c r="G17" s="16">
        <f t="shared" si="1"/>
        <v>0</v>
      </c>
      <c r="H17" s="16">
        <f t="shared" si="1"/>
        <v>0</v>
      </c>
      <c r="I17" s="17">
        <f>SUM(C17:H17)</f>
        <v>235.99600000000001</v>
      </c>
      <c r="J17" s="4"/>
      <c r="K17" s="1"/>
      <c r="L17" s="1"/>
      <c r="M17" s="1"/>
      <c r="N17" s="1"/>
      <c r="O17" s="1"/>
      <c r="P17" s="1"/>
      <c r="Q17" s="1"/>
      <c r="R17" s="1"/>
      <c r="S17" s="1"/>
      <c r="T17" s="1"/>
      <c r="U17" s="1"/>
      <c r="V17" s="1"/>
      <c r="W17" s="1"/>
      <c r="X17" s="1"/>
      <c r="Y17" s="1"/>
      <c r="Z17" s="1"/>
      <c r="AA17" s="1"/>
    </row>
    <row r="18" spans="2:27" ht="15">
      <c r="B18" s="18"/>
      <c r="C18" s="19">
        <f>IFERROR(C17/$I$17,0)</f>
        <v>4.9772030034407368E-2</v>
      </c>
      <c r="D18" s="19">
        <f t="shared" ref="D18:H18" si="2">IFERROR(D17/$I$17,0)</f>
        <v>0.95022796996559256</v>
      </c>
      <c r="E18" s="19">
        <f t="shared" si="2"/>
        <v>0</v>
      </c>
      <c r="F18" s="19">
        <f t="shared" si="2"/>
        <v>0</v>
      </c>
      <c r="G18" s="19">
        <f t="shared" si="2"/>
        <v>0</v>
      </c>
      <c r="H18" s="19">
        <f t="shared" si="2"/>
        <v>0</v>
      </c>
      <c r="I18" s="14"/>
      <c r="J18" s="1"/>
      <c r="K18" s="1"/>
      <c r="L18" s="1"/>
      <c r="M18" s="1"/>
      <c r="N18" s="1"/>
      <c r="O18" s="1"/>
      <c r="P18" s="1"/>
      <c r="Q18" s="1"/>
      <c r="R18" s="1"/>
      <c r="S18" s="1"/>
      <c r="T18" s="1"/>
      <c r="U18" s="1"/>
      <c r="V18" s="1"/>
      <c r="W18" s="1"/>
      <c r="X18" s="1"/>
      <c r="Y18" s="1"/>
      <c r="Z18" s="1"/>
      <c r="AA18" s="1"/>
    </row>
    <row r="19" spans="2:27" ht="15">
      <c r="B19" s="20"/>
      <c r="C19" s="21">
        <f t="shared" ref="C19:H19" si="3">IF(C18&lt;0.5%,"",C17)</f>
        <v>11.746000000000002</v>
      </c>
      <c r="D19" s="21">
        <f t="shared" si="3"/>
        <v>224.25</v>
      </c>
      <c r="E19" s="21" t="str">
        <f t="shared" si="3"/>
        <v/>
      </c>
      <c r="F19" s="21" t="str">
        <f t="shared" si="3"/>
        <v/>
      </c>
      <c r="G19" s="21" t="str">
        <f t="shared" si="3"/>
        <v/>
      </c>
      <c r="H19" s="21" t="str">
        <f t="shared" si="3"/>
        <v/>
      </c>
      <c r="I19" s="22"/>
      <c r="J19" s="1"/>
      <c r="K19" s="1"/>
      <c r="L19" s="1"/>
      <c r="M19" s="1"/>
      <c r="N19" s="1"/>
      <c r="O19" s="1"/>
      <c r="P19" s="1"/>
      <c r="Q19" s="1"/>
      <c r="R19" s="1"/>
      <c r="S19" s="1"/>
      <c r="T19" s="1"/>
      <c r="U19" s="1"/>
      <c r="V19" s="1"/>
      <c r="W19" s="1"/>
      <c r="X19" s="1"/>
      <c r="Y19" s="1"/>
      <c r="Z19" s="1"/>
      <c r="AA19" s="1"/>
    </row>
    <row r="22" spans="2:27" ht="39" customHeight="1">
      <c r="B22" s="23" t="s">
        <v>104</v>
      </c>
      <c r="C22" s="24" t="s">
        <v>105</v>
      </c>
      <c r="D22" s="24" t="s">
        <v>85</v>
      </c>
      <c r="E22" s="25" t="s">
        <v>30</v>
      </c>
      <c r="F22" s="25" t="s">
        <v>106</v>
      </c>
      <c r="G22" s="25" t="s">
        <v>107</v>
      </c>
      <c r="H22" s="25" t="s">
        <v>108</v>
      </c>
      <c r="I22" s="25" t="s">
        <v>109</v>
      </c>
      <c r="J22" s="25" t="s">
        <v>110</v>
      </c>
      <c r="K22" s="25" t="s">
        <v>111</v>
      </c>
      <c r="L22" s="25" t="s">
        <v>112</v>
      </c>
      <c r="M22" s="25" t="s">
        <v>113</v>
      </c>
      <c r="N22" s="25" t="s">
        <v>114</v>
      </c>
      <c r="O22" s="25" t="s">
        <v>115</v>
      </c>
      <c r="P22" s="25" t="s">
        <v>116</v>
      </c>
      <c r="Q22" s="25" t="s">
        <v>117</v>
      </c>
      <c r="R22" s="26" t="s">
        <v>118</v>
      </c>
    </row>
    <row r="23" spans="2:27" ht="15">
      <c r="B23" s="27">
        <f>'Energy Calculator'!B45</f>
        <v>44927</v>
      </c>
      <c r="C23" s="28">
        <f>_xlfn.XLOOKUP('Energy Calculator'!$E$11,$D$22:$R$22,D23:R23)</f>
        <v>21.279999999999998</v>
      </c>
      <c r="D23" s="29"/>
      <c r="E23" s="30">
        <v>21.279999999999998</v>
      </c>
      <c r="F23" s="30">
        <v>21.1</v>
      </c>
      <c r="G23" s="30">
        <v>19.5</v>
      </c>
      <c r="H23" s="30">
        <v>21.18</v>
      </c>
      <c r="I23" s="30">
        <v>20.939999999999998</v>
      </c>
      <c r="J23" s="30">
        <v>18.78</v>
      </c>
      <c r="K23" s="30">
        <v>19.14</v>
      </c>
      <c r="L23" s="30">
        <v>18.96</v>
      </c>
      <c r="M23" s="30">
        <v>19.46</v>
      </c>
      <c r="N23" s="30">
        <v>18.299999999999997</v>
      </c>
      <c r="O23" s="30">
        <v>16.96</v>
      </c>
      <c r="P23" s="30">
        <v>16.439999999999998</v>
      </c>
      <c r="Q23" s="30">
        <v>17.240000000000002</v>
      </c>
      <c r="R23" s="31">
        <v>15.7</v>
      </c>
    </row>
    <row r="24" spans="2:27" ht="15">
      <c r="B24" s="27">
        <f>'Energy Calculator'!B46</f>
        <v>44958</v>
      </c>
      <c r="C24" s="28">
        <f>_xlfn.XLOOKUP('Energy Calculator'!$E$11,$D$22:$R$22,D24:R24)</f>
        <v>21.36</v>
      </c>
      <c r="D24" s="29"/>
      <c r="E24" s="30">
        <v>21.36</v>
      </c>
      <c r="F24" s="30">
        <v>21.220000000000002</v>
      </c>
      <c r="G24" s="30">
        <v>19.86</v>
      </c>
      <c r="H24" s="30">
        <v>20.9</v>
      </c>
      <c r="I24" s="30">
        <v>20.66</v>
      </c>
      <c r="J24" s="30">
        <v>18.600000000000001</v>
      </c>
      <c r="K24" s="30">
        <v>18.760000000000002</v>
      </c>
      <c r="L24" s="30">
        <v>18.46</v>
      </c>
      <c r="M24" s="30">
        <v>18.46</v>
      </c>
      <c r="N24" s="30">
        <v>17.279999999999998</v>
      </c>
      <c r="O24" s="30">
        <v>16.880000000000003</v>
      </c>
      <c r="P24" s="30">
        <v>15.12</v>
      </c>
      <c r="Q24" s="30">
        <v>15.76</v>
      </c>
      <c r="R24" s="31">
        <v>14.399999999999997</v>
      </c>
    </row>
    <row r="25" spans="2:27" ht="15">
      <c r="B25" s="27">
        <f>'Energy Calculator'!B47</f>
        <v>44986</v>
      </c>
      <c r="C25" s="28">
        <f>_xlfn.XLOOKUP('Energy Calculator'!$E$11,$D$22:$R$22,D25:R25)</f>
        <v>19.62</v>
      </c>
      <c r="D25" s="29"/>
      <c r="E25" s="30">
        <v>19.62</v>
      </c>
      <c r="F25" s="30">
        <v>19.740000000000002</v>
      </c>
      <c r="G25" s="30">
        <v>18.02</v>
      </c>
      <c r="H25" s="30">
        <v>19.18</v>
      </c>
      <c r="I25" s="30">
        <v>18.360000000000003</v>
      </c>
      <c r="J25" s="30">
        <v>17.659999999999997</v>
      </c>
      <c r="K25" s="30">
        <v>17.279999999999998</v>
      </c>
      <c r="L25" s="30">
        <v>17.04</v>
      </c>
      <c r="M25" s="30">
        <v>16.940000000000001</v>
      </c>
      <c r="N25" s="30">
        <v>15.540000000000001</v>
      </c>
      <c r="O25" s="30">
        <v>16.380000000000003</v>
      </c>
      <c r="P25" s="30">
        <v>14.16</v>
      </c>
      <c r="Q25" s="30">
        <v>14.220000000000002</v>
      </c>
      <c r="R25" s="31">
        <v>13.8</v>
      </c>
    </row>
    <row r="26" spans="2:27" ht="15">
      <c r="B26" s="27">
        <f>'Energy Calculator'!B48</f>
        <v>45017</v>
      </c>
      <c r="C26" s="28">
        <f>_xlfn.XLOOKUP('Energy Calculator'!$E$11,$D$22:$R$22,D26:R26)</f>
        <v>17.32</v>
      </c>
      <c r="D26" s="29"/>
      <c r="E26" s="30">
        <v>17.32</v>
      </c>
      <c r="F26" s="30">
        <v>16.96</v>
      </c>
      <c r="G26" s="30">
        <v>14.66</v>
      </c>
      <c r="H26" s="30">
        <v>16.520000000000003</v>
      </c>
      <c r="I26" s="30">
        <v>15.86</v>
      </c>
      <c r="J26" s="30">
        <v>15.02</v>
      </c>
      <c r="K26" s="30">
        <v>14.280000000000001</v>
      </c>
      <c r="L26" s="30">
        <v>14.940000000000001</v>
      </c>
      <c r="M26" s="30">
        <v>14.059999999999999</v>
      </c>
      <c r="N26" s="30">
        <v>12.34</v>
      </c>
      <c r="O26" s="30">
        <v>13.179999999999998</v>
      </c>
      <c r="P26" s="30">
        <v>10.92</v>
      </c>
      <c r="Q26" s="30">
        <v>10.14</v>
      </c>
      <c r="R26" s="31">
        <v>11.02</v>
      </c>
    </row>
    <row r="27" spans="2:27" ht="15">
      <c r="B27" s="27">
        <f>'Energy Calculator'!B49</f>
        <v>45047</v>
      </c>
      <c r="C27" s="28">
        <f>_xlfn.XLOOKUP('Energy Calculator'!$E$11,$D$22:$R$22,D27:R27)</f>
        <v>15.16</v>
      </c>
      <c r="D27" s="29"/>
      <c r="E27" s="30">
        <v>15.16</v>
      </c>
      <c r="F27" s="30">
        <v>14.7</v>
      </c>
      <c r="G27" s="30">
        <v>12.08</v>
      </c>
      <c r="H27" s="30">
        <v>14.2</v>
      </c>
      <c r="I27" s="30">
        <v>13.580000000000002</v>
      </c>
      <c r="J27" s="30">
        <v>13.2</v>
      </c>
      <c r="K27" s="30">
        <v>12.059999999999999</v>
      </c>
      <c r="L27" s="30">
        <v>13.559999999999999</v>
      </c>
      <c r="M27" s="30">
        <v>11.7</v>
      </c>
      <c r="N27" s="30">
        <v>9.9</v>
      </c>
      <c r="O27" s="30">
        <v>11.66</v>
      </c>
      <c r="P27" s="30">
        <v>8.120000000000001</v>
      </c>
      <c r="Q27" s="30">
        <v>7.6599999999999993</v>
      </c>
      <c r="R27" s="31">
        <v>8.879999999999999</v>
      </c>
    </row>
    <row r="28" spans="2:27" ht="15">
      <c r="B28" s="27">
        <f>'Energy Calculator'!B50</f>
        <v>45078</v>
      </c>
      <c r="C28" s="28">
        <f>_xlfn.XLOOKUP('Energy Calculator'!$E$11,$D$22:$R$22,D28:R28)</f>
        <v>13.319999999999999</v>
      </c>
      <c r="D28" s="29"/>
      <c r="E28" s="30">
        <v>13.319999999999999</v>
      </c>
      <c r="F28" s="30">
        <v>12.62</v>
      </c>
      <c r="G28" s="30">
        <v>10.28</v>
      </c>
      <c r="H28" s="30">
        <v>12.26</v>
      </c>
      <c r="I28" s="30">
        <v>11.580000000000002</v>
      </c>
      <c r="J28" s="30">
        <v>11.360000000000001</v>
      </c>
      <c r="K28" s="30">
        <v>10.280000000000001</v>
      </c>
      <c r="L28" s="30">
        <v>11.440000000000001</v>
      </c>
      <c r="M28" s="30">
        <v>9.32</v>
      </c>
      <c r="N28" s="30">
        <v>7.32</v>
      </c>
      <c r="O28" s="30">
        <v>9.9749999999999996</v>
      </c>
      <c r="P28" s="30">
        <v>5.56</v>
      </c>
      <c r="Q28" s="30">
        <v>4.6199999999999992</v>
      </c>
      <c r="R28" s="31">
        <v>6.3599999999999994</v>
      </c>
    </row>
    <row r="29" spans="2:27" ht="15">
      <c r="B29" s="27">
        <f>'Energy Calculator'!B51</f>
        <v>45108</v>
      </c>
      <c r="C29" s="28">
        <f>_xlfn.XLOOKUP('Energy Calculator'!$E$11,$D$22:$R$22,D29:R29)</f>
        <v>12.56</v>
      </c>
      <c r="D29" s="29"/>
      <c r="E29" s="30">
        <v>12.56</v>
      </c>
      <c r="F29" s="30">
        <v>11.959999999999999</v>
      </c>
      <c r="G29" s="30">
        <v>9.620000000000001</v>
      </c>
      <c r="H29" s="30">
        <v>11.38</v>
      </c>
      <c r="I29" s="30">
        <v>10.950000000000001</v>
      </c>
      <c r="J29" s="30">
        <v>10.7</v>
      </c>
      <c r="K29" s="30">
        <v>9.74</v>
      </c>
      <c r="L29" s="30">
        <v>10.66</v>
      </c>
      <c r="M29" s="30">
        <v>8.5599999999999987</v>
      </c>
      <c r="N29" s="30">
        <v>6.88</v>
      </c>
      <c r="O29" s="30">
        <v>8.98</v>
      </c>
      <c r="P29" s="30">
        <v>5.66</v>
      </c>
      <c r="Q29" s="30">
        <v>4.6399999999999997</v>
      </c>
      <c r="R29" s="31">
        <v>6.58</v>
      </c>
    </row>
    <row r="30" spans="2:27" ht="15">
      <c r="B30" s="27">
        <f>'Energy Calculator'!B52</f>
        <v>45139</v>
      </c>
      <c r="C30" s="28">
        <f>_xlfn.XLOOKUP('Energy Calculator'!$E$11,$D$22:$R$22,D30:R30)</f>
        <v>12.84</v>
      </c>
      <c r="D30" s="29"/>
      <c r="E30" s="30">
        <v>12.84</v>
      </c>
      <c r="F30" s="30">
        <v>12.360000000000001</v>
      </c>
      <c r="G30" s="30">
        <v>10.180000000000001</v>
      </c>
      <c r="H30" s="30">
        <v>11.72</v>
      </c>
      <c r="I30" s="30">
        <v>11.239999999999998</v>
      </c>
      <c r="J30" s="30">
        <v>10.940000000000001</v>
      </c>
      <c r="K30" s="30">
        <v>9.9999999999999982</v>
      </c>
      <c r="L30" s="30">
        <v>11.12</v>
      </c>
      <c r="M30" s="30">
        <v>9.58</v>
      </c>
      <c r="N30" s="30">
        <v>8</v>
      </c>
      <c r="O30" s="30">
        <v>9.8999999999999986</v>
      </c>
      <c r="P30" s="30">
        <v>7.080000000000001</v>
      </c>
      <c r="Q30" s="30">
        <v>5.9799999999999995</v>
      </c>
      <c r="R30" s="31">
        <v>7.3800000000000008</v>
      </c>
    </row>
    <row r="31" spans="2:27" ht="15">
      <c r="B31" s="27">
        <f>'Energy Calculator'!B53</f>
        <v>45170</v>
      </c>
      <c r="C31" s="28">
        <f>_xlfn.XLOOKUP('Energy Calculator'!$E$11,$D$22:$R$22,D31:R31)</f>
        <v>13.66</v>
      </c>
      <c r="D31" s="29"/>
      <c r="E31" s="30">
        <v>13.66</v>
      </c>
      <c r="F31" s="30">
        <v>13.319999999999999</v>
      </c>
      <c r="G31" s="30">
        <v>11.379999999999999</v>
      </c>
      <c r="H31" s="30">
        <v>12.88</v>
      </c>
      <c r="I31" s="30">
        <v>12.78</v>
      </c>
      <c r="J31" s="30">
        <v>11.64</v>
      </c>
      <c r="K31" s="30">
        <v>11.02</v>
      </c>
      <c r="L31" s="30">
        <v>11.64</v>
      </c>
      <c r="M31" s="30">
        <v>10.78</v>
      </c>
      <c r="N31" s="30">
        <v>9.5</v>
      </c>
      <c r="O31" s="30">
        <v>10.36</v>
      </c>
      <c r="P31" s="30">
        <v>8.4</v>
      </c>
      <c r="Q31" s="30">
        <v>7.580000000000001</v>
      </c>
      <c r="R31" s="31">
        <v>8.5399999999999991</v>
      </c>
    </row>
    <row r="32" spans="2:27" ht="15">
      <c r="B32" s="27">
        <f>'Energy Calculator'!B54</f>
        <v>45200</v>
      </c>
      <c r="C32" s="28">
        <f>_xlfn.XLOOKUP('Energy Calculator'!$E$11,$D$22:$R$22,D32:R32)</f>
        <v>15.420000000000002</v>
      </c>
      <c r="D32" s="29"/>
      <c r="E32" s="30">
        <v>15.420000000000002</v>
      </c>
      <c r="F32" s="30">
        <v>15.120000000000001</v>
      </c>
      <c r="G32" s="30">
        <v>13.580000000000002</v>
      </c>
      <c r="H32" s="30">
        <v>14.780000000000001</v>
      </c>
      <c r="I32" s="30">
        <v>14.979999999999999</v>
      </c>
      <c r="J32" s="30">
        <v>13.139999999999997</v>
      </c>
      <c r="K32" s="30">
        <v>12.98</v>
      </c>
      <c r="L32" s="30">
        <v>13.34</v>
      </c>
      <c r="M32" s="30">
        <v>12.88</v>
      </c>
      <c r="N32" s="30">
        <v>11.54</v>
      </c>
      <c r="O32" s="30">
        <v>11.92</v>
      </c>
      <c r="P32" s="30">
        <v>10.5</v>
      </c>
      <c r="Q32" s="30">
        <v>10.199999999999999</v>
      </c>
      <c r="R32" s="31">
        <v>10.459999999999999</v>
      </c>
    </row>
    <row r="33" spans="2:18" ht="15">
      <c r="B33" s="27">
        <f>'Energy Calculator'!B55</f>
        <v>45231</v>
      </c>
      <c r="C33" s="28">
        <f>_xlfn.XLOOKUP('Energy Calculator'!$E$11,$D$22:$R$22,D33:R33)</f>
        <v>17.940000000000005</v>
      </c>
      <c r="D33" s="29"/>
      <c r="E33" s="30">
        <v>17.940000000000005</v>
      </c>
      <c r="F33" s="30">
        <v>17.46</v>
      </c>
      <c r="G33" s="30">
        <v>16.119999999999997</v>
      </c>
      <c r="H33" s="30">
        <v>17.5</v>
      </c>
      <c r="I33" s="30">
        <v>17.82</v>
      </c>
      <c r="J33" s="30">
        <v>15.4</v>
      </c>
      <c r="K33" s="30">
        <v>15.540000000000001</v>
      </c>
      <c r="L33" s="30">
        <v>15.539999999999997</v>
      </c>
      <c r="M33" s="30">
        <v>15.36</v>
      </c>
      <c r="N33" s="30">
        <v>14.459999999999999</v>
      </c>
      <c r="O33" s="30">
        <v>14.239999999999998</v>
      </c>
      <c r="P33" s="30">
        <v>13.279999999999998</v>
      </c>
      <c r="Q33" s="30">
        <v>12.88</v>
      </c>
      <c r="R33" s="31">
        <v>12.68</v>
      </c>
    </row>
    <row r="34" spans="2:18" ht="15">
      <c r="B34" s="27">
        <f>'Energy Calculator'!B56</f>
        <v>45261</v>
      </c>
      <c r="C34" s="28">
        <f>_xlfn.XLOOKUP('Energy Calculator'!$E$11,$D$22:$R$22,D34:R34)</f>
        <v>19.740000000000002</v>
      </c>
      <c r="D34" s="29"/>
      <c r="E34" s="30">
        <v>19.740000000000002</v>
      </c>
      <c r="F34" s="30">
        <v>19.600000000000001</v>
      </c>
      <c r="G34" s="30">
        <v>18.100000000000001</v>
      </c>
      <c r="H34" s="30">
        <v>19.559999999999999</v>
      </c>
      <c r="I34" s="30">
        <v>19.240000000000002</v>
      </c>
      <c r="J34" s="30">
        <v>17.419999999999998</v>
      </c>
      <c r="K34" s="30">
        <v>17.360000000000003</v>
      </c>
      <c r="L34" s="30">
        <v>17.119999999999997</v>
      </c>
      <c r="M34" s="30">
        <v>17.440000000000001</v>
      </c>
      <c r="N34" s="30">
        <v>16.020000000000003</v>
      </c>
      <c r="O34" s="30">
        <v>15.86</v>
      </c>
      <c r="P34" s="30">
        <v>14.440000000000001</v>
      </c>
      <c r="Q34" s="30">
        <v>14.66</v>
      </c>
      <c r="R34" s="31">
        <v>13.979999999999999</v>
      </c>
    </row>
    <row r="35" spans="2:18" ht="15">
      <c r="B35" s="20"/>
      <c r="C35" s="32">
        <f>AVERAGE(C23:C34)</f>
        <v>16.685000000000002</v>
      </c>
      <c r="D35" s="33"/>
      <c r="E35" s="32">
        <f>AVERAGE(E23:E34)</f>
        <v>16.685000000000002</v>
      </c>
      <c r="F35" s="32">
        <f t="shared" ref="F35:R35" si="4">AVERAGE(F23:F34)</f>
        <v>16.346666666666668</v>
      </c>
      <c r="G35" s="32">
        <f t="shared" si="4"/>
        <v>14.448333333333332</v>
      </c>
      <c r="H35" s="32">
        <f t="shared" si="4"/>
        <v>16.004999999999999</v>
      </c>
      <c r="I35" s="32">
        <f t="shared" si="4"/>
        <v>15.665833333333332</v>
      </c>
      <c r="J35" s="32">
        <f t="shared" si="4"/>
        <v>14.488333333333332</v>
      </c>
      <c r="K35" s="32">
        <f t="shared" si="4"/>
        <v>14.036666666666667</v>
      </c>
      <c r="L35" s="32">
        <f t="shared" si="4"/>
        <v>14.484999999999999</v>
      </c>
      <c r="M35" s="32">
        <f t="shared" si="4"/>
        <v>13.711666666666668</v>
      </c>
      <c r="N35" s="32">
        <f t="shared" si="4"/>
        <v>12.256666666666668</v>
      </c>
      <c r="O35" s="32">
        <f t="shared" si="4"/>
        <v>13.024583333333334</v>
      </c>
      <c r="P35" s="32">
        <f t="shared" si="4"/>
        <v>10.806666666666667</v>
      </c>
      <c r="Q35" s="32">
        <f t="shared" si="4"/>
        <v>10.465</v>
      </c>
      <c r="R35" s="34">
        <f t="shared" si="4"/>
        <v>10.814999999999996</v>
      </c>
    </row>
  </sheetData>
  <sheetProtection algorithmName="SHA-512" hashValue="4wABzXz1GI7fYjtCArVgpM2ZTi0lOvZT345sPgdPUFqQjnpaNurIfsKnIqYqBKH22Wbxxg3FEpC1bbY7SsRuxQ==" saltValue="zjro4dLHFHKSVdAarfHkzQ=="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ACE9A-8A2B-4F3F-9783-3EAF7A91966B}">
  <dimension ref="A1"/>
  <sheetViews>
    <sheetView zoomScale="70" zoomScaleNormal="70" workbookViewId="0">
      <selection activeCell="AT26" sqref="AT26"/>
    </sheetView>
  </sheetViews>
  <sheetFormatPr defaultRowHeight="14.45"/>
  <sheetData/>
  <sheetProtection algorithmName="SHA-512" hashValue="1H9M9xhlB8UbqKgYF6T2CTCDQ7Cu4uj5E+5FiDGCIBJ8Ke0J+u08NbD/KGum2AIJeIDo8XYiO5+8bSFVqmjveA==" saltValue="kVh458lT1xRMvYRvkbVJaA=="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1524e96-ec98-4da0-a122-419156e7d6b0">
      <Value>593</Value>
    </TaxCatchAll>
    <TaxKeywordTaxHTField xmlns="21524e96-ec98-4da0-a122-419156e7d6b0">
      <Terms xmlns="http://schemas.microsoft.com/office/infopath/2007/PartnerControls"/>
    </TaxKeywordTaxHTField>
    <lcf76f155ced4ddcb4097134ff3c332f xmlns="376270d6-e0e1-44d9-9147-71125ac31554" xsi:nil="true"/>
    <k03a37f2627d4dc4ad1de93546aabd57 xmlns="376270d6-e0e1-44d9-9147-71125ac31554">
      <Terms xmlns="http://schemas.microsoft.com/office/infopath/2007/PartnerControls">
        <TermInfo xmlns="http://schemas.microsoft.com/office/infopath/2007/PartnerControls">
          <TermName xmlns="http://schemas.microsoft.com/office/infopath/2007/PartnerControls">Sector Associations</TermName>
          <TermId xmlns="http://schemas.microsoft.com/office/infopath/2007/PartnerControls">a6007bde-6c27-40d2-9998-2f06fa854c52</TermId>
        </TermInfo>
      </Terms>
    </k03a37f2627d4dc4ad1de93546aabd57>
    <C3TopicNote xmlns="21524e96-ec98-4da0-a122-419156e7d6b0">
      <Terms xmlns="http://schemas.microsoft.com/office/infopath/2007/PartnerControls"/>
    </C3TopicNote>
    <C3FinancialYearNote xmlns="21524e96-ec98-4da0-a122-419156e7d6b0">
      <Terms xmlns="http://schemas.microsoft.com/office/infopath/2007/PartnerControls"/>
    </C3FinancialYearNote>
    <AccountManager xmlns="21524e96-ec98-4da0-a122-419156e7d6b0">
      <UserInfo>
        <DisplayName/>
        <AccountId xsi:nil="true"/>
        <AccountType/>
      </UserInfo>
    </AccountManager>
  </documentManagement>
</p:properties>
</file>

<file path=customXml/item3.xml><?xml version="1.0" encoding="utf-8"?>
<ct:contentTypeSchema xmlns:ct="http://schemas.microsoft.com/office/2006/metadata/contentType" xmlns:ma="http://schemas.microsoft.com/office/2006/metadata/properties/metaAttributes" ct:_="" ma:_="" ma:contentTypeName="Excel Spreadsheet" ma:contentTypeID="0x010100FBA2F251638CCE48A93329D5E27FBC110100752342217DD78349B7B458CE96B5C641" ma:contentTypeVersion="14" ma:contentTypeDescription="Create a new Excel Spreadsheet" ma:contentTypeScope="" ma:versionID="e260898f9cac20f9ded0517d4dc8f340">
  <xsd:schema xmlns:xsd="http://www.w3.org/2001/XMLSchema" xmlns:xs="http://www.w3.org/2001/XMLSchema" xmlns:p="http://schemas.microsoft.com/office/2006/metadata/properties" xmlns:ns2="21524e96-ec98-4da0-a122-419156e7d6b0" xmlns:ns3="376270d6-e0e1-44d9-9147-71125ac31554" targetNamespace="http://schemas.microsoft.com/office/2006/metadata/properties" ma:root="true" ma:fieldsID="72c39ae19fc9aa7d00517e2be40fb9f6" ns2:_="" ns3:_="">
    <xsd:import namespace="21524e96-ec98-4da0-a122-419156e7d6b0"/>
    <xsd:import namespace="376270d6-e0e1-44d9-9147-71125ac31554"/>
    <xsd:element name="properties">
      <xsd:complexType>
        <xsd:sequence>
          <xsd:element name="documentManagement">
            <xsd:complexType>
              <xsd:all>
                <xsd:element ref="ns2:TaxCatchAll" minOccurs="0"/>
                <xsd:element ref="ns2:AccountManager" minOccurs="0"/>
                <xsd:element ref="ns2:C3TopicNote" minOccurs="0"/>
                <xsd:element ref="ns2:TaxKeywordTaxHTField" minOccurs="0"/>
                <xsd:element ref="ns2:TaxCatchAllLabel" minOccurs="0"/>
                <xsd:element ref="ns3:k03a37f2627d4dc4ad1de93546aabd57" minOccurs="0"/>
                <xsd:element ref="ns2:C3FinancialYearNot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524e96-ec98-4da0-a122-419156e7d6b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cc75d03-3abd-4bf5-b0e2-78f43a78cac0}" ma:internalName="TaxCatchAll" ma:readOnly="false" ma:showField="CatchAllData"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AccountManager" ma:index="11" nillable="true" ma:displayName="Account Manager" ma:SharePointGroup="0" ma:internalName="AccountManag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3TopicNote" ma:index="14" nillable="true" ma:taxonomy="true" ma:internalName="C3TopicNote" ma:taxonomyFieldName="C3Topic" ma:displayName="Topic" ma:readOnly="false" ma:fieldId="{6a3fe89f-a6dd-4490-a9c1-3ef38d67b8c7}" ma:sspId="251bc273-1602-4fac-9ab0-4c4e1ac79c83" ma:termSetId="82541825-1e4c-4e18-9c16-e4bb77f46ae6" ma:anchorId="63b2c99e-de92-4879-b888-b63049546169" ma:open="true" ma:isKeyword="false">
      <xsd:complexType>
        <xsd:sequence>
          <xsd:element ref="pc:Terms" minOccurs="0" maxOccurs="1"/>
        </xsd:sequence>
      </xsd:complexType>
    </xsd:element>
    <xsd:element name="TaxKeywordTaxHTField" ma:index="15" nillable="true" ma:taxonomy="true" ma:internalName="TaxKeywordTaxHTField" ma:taxonomyFieldName="TaxKeyword" ma:displayName="Enterprise Keywords" ma:readOnly="false" ma:fieldId="{23f27201-bee3-471e-b2e7-b64fd8b7ca38}" ma:taxonomyMulti="true" ma:sspId="251bc273-1602-4fac-9ab0-4c4e1ac79c83" ma:termSetId="00000000-0000-0000-0000-000000000000" ma:anchorId="00000000-0000-0000-0000-000000000000" ma:open="true" ma:isKeyword="true">
      <xsd:complexType>
        <xsd:sequence>
          <xsd:element ref="pc:Terms" minOccurs="0" maxOccurs="1"/>
        </xsd:sequence>
      </xsd:complexType>
    </xsd:element>
    <xsd:element name="TaxCatchAllLabel" ma:index="16" nillable="true" ma:displayName="Taxonomy Catch All Column1" ma:hidden="true" ma:list="{fcc75d03-3abd-4bf5-b0e2-78f43a78cac0}" ma:internalName="TaxCatchAllLabel" ma:readOnly="true" ma:showField="CatchAllDataLabel"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C3FinancialYearNote" ma:index="18" nillable="true" ma:taxonomy="true" ma:internalName="C3FinancialYearNote" ma:taxonomyFieldName="C3FinancialYear" ma:displayName="Financial Year" ma:readOnly="false" ma:fieldId="{576f231a-00e6-4d2f-a497-c942067ed5b8}" ma:sspId="251bc273-1602-4fac-9ab0-4c4e1ac79c83" ma:termSetId="67187f8a-7802-4a97-b714-f9f1f17ed6cc"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76270d6-e0e1-44d9-9147-71125ac31554" elementFormDefault="qualified">
    <xsd:import namespace="http://schemas.microsoft.com/office/2006/documentManagement/types"/>
    <xsd:import namespace="http://schemas.microsoft.com/office/infopath/2007/PartnerControls"/>
    <xsd:element name="k03a37f2627d4dc4ad1de93546aabd57" ma:index="17" nillable="true" ma:taxonomy="true" ma:internalName="k03a37f2627d4dc4ad1de93546aabd57" ma:taxonomyFieldName="Partnership_x0020_Sector" ma:displayName="Partnership Sector" ma:readOnly="false" ma:fieldId="{403a37f2-627d-4dc4-ad1d-e93546aabd57}" ma:sspId="251bc273-1602-4fac-9ab0-4c4e1ac79c83" ma:termSetId="82541825-1e4c-4e18-9c16-e4bb77f46ae6" ma:anchorId="796e6a38-8a90-418c-9b15-cc6a15a738fb" ma:open="true" ma:isKeyword="false">
      <xsd:complexType>
        <xsd:sequence>
          <xsd:element ref="pc:Terms" minOccurs="0" maxOccurs="1"/>
        </xsd:sequence>
      </xsd:complexType>
    </xsd:element>
    <xsd:element name="lcf76f155ced4ddcb4097134ff3c332f" ma:index="19"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9102C6-4269-4276-8EAD-449FDC5B125F}"/>
</file>

<file path=customXml/itemProps2.xml><?xml version="1.0" encoding="utf-8"?>
<ds:datastoreItem xmlns:ds="http://schemas.openxmlformats.org/officeDocument/2006/customXml" ds:itemID="{DCE5CFE2-8B20-4E58-8EAC-7DECB9E46334}"/>
</file>

<file path=customXml/itemProps3.xml><?xml version="1.0" encoding="utf-8"?>
<ds:datastoreItem xmlns:ds="http://schemas.openxmlformats.org/officeDocument/2006/customXml" ds:itemID="{5C7AE113-76C0-4CE4-97E7-72EFDCA68B9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toby.deridder</dc:creator>
  <cp:keywords/>
  <dc:description/>
  <cp:lastModifiedBy/>
  <cp:revision/>
  <dcterms:created xsi:type="dcterms:W3CDTF">2015-06-05T18:17:20Z</dcterms:created>
  <dcterms:modified xsi:type="dcterms:W3CDTF">2024-10-21T02:39:28Z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3FinancialYear">
    <vt:lpwstr/>
  </property>
  <property fmtid="{D5CDD505-2E9C-101B-9397-08002B2CF9AE}" pid="4" name="C3FinancialYearNote">
    <vt:lpwstr/>
  </property>
  <property fmtid="{D5CDD505-2E9C-101B-9397-08002B2CF9AE}" pid="5" name="MediaServiceImageTags">
    <vt:lpwstr/>
  </property>
  <property fmtid="{D5CDD505-2E9C-101B-9397-08002B2CF9AE}" pid="6" name="ContentTypeId">
    <vt:lpwstr>0x010100FBA2F251638CCE48A93329D5E27FBC110100752342217DD78349B7B458CE96B5C641</vt:lpwstr>
  </property>
  <property fmtid="{D5CDD505-2E9C-101B-9397-08002B2CF9AE}" pid="7" name="kddd98c5f6f34737bde028fc23de385d">
    <vt:lpwstr/>
  </property>
  <property fmtid="{D5CDD505-2E9C-101B-9397-08002B2CF9AE}" pid="8" name="C3Topic">
    <vt:lpwstr/>
  </property>
  <property fmtid="{D5CDD505-2E9C-101B-9397-08002B2CF9AE}" pid="9" name="ProgrammePartner">
    <vt:lpwstr/>
  </property>
  <property fmtid="{D5CDD505-2E9C-101B-9397-08002B2CF9AE}" pid="10" name="C3TopicNote">
    <vt:lpwstr/>
  </property>
  <property fmtid="{D5CDD505-2E9C-101B-9397-08002B2CF9AE}" pid="11" name="C3Region">
    <vt:lpwstr/>
  </property>
  <property fmtid="{D5CDD505-2E9C-101B-9397-08002B2CF9AE}" pid="12" name="C3RegionNote">
    <vt:lpwstr/>
  </property>
  <property fmtid="{D5CDD505-2E9C-101B-9397-08002B2CF9AE}" pid="13" name="Partnership Sector">
    <vt:lpwstr>593</vt:lpwstr>
  </property>
  <property fmtid="{D5CDD505-2E9C-101B-9397-08002B2CF9AE}" pid="14" name="k03a37f2627d4dc4ad1de93546aabd57">
    <vt:lpwstr>Sector Associations|a6007bde-6c27-40d2-9998-2f06fa854c52</vt:lpwstr>
  </property>
  <property fmtid="{D5CDD505-2E9C-101B-9397-08002B2CF9AE}" pid="15" name="_docset_NoMedatataSyncRequired">
    <vt:lpwstr>False</vt:lpwstr>
  </property>
  <property fmtid="{D5CDD505-2E9C-101B-9397-08002B2CF9AE}" pid="16" name="C3Active">
    <vt:bool>true</vt:bool>
  </property>
  <property fmtid="{D5CDD505-2E9C-101B-9397-08002B2CF9AE}" pid="17" name="SharedWithUsers">
    <vt:lpwstr>70;#Insa Errey;#583;#Karen Orr;#85;#Hamish Thomson;#86;#Julie Coyne</vt:lpwstr>
  </property>
  <property fmtid="{D5CDD505-2E9C-101B-9397-08002B2CF9AE}" pid="18" name="Partnership_x0020_Sector">
    <vt:lpwstr>593</vt:lpwstr>
  </property>
</Properties>
</file>