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oynej\Desktop\"/>
    </mc:Choice>
  </mc:AlternateContent>
  <xr:revisionPtr revIDLastSave="0" documentId="8_{8A99D7D1-663E-4E99-A4BB-4746D5AEFE1E}" xr6:coauthVersionLast="47" xr6:coauthVersionMax="47" xr10:uidLastSave="{00000000-0000-0000-0000-000000000000}"/>
  <bookViews>
    <workbookView xWindow="-120" yWindow="-120" windowWidth="51840" windowHeight="21120" xr2:uid="{B5F471FE-ED72-44AC-A853-E068A8A91250}"/>
  </bookViews>
  <sheets>
    <sheet name="Introduction" sheetId="12" r:id="rId1"/>
    <sheet name="Energy Calculator" sheetId="1" r:id="rId2"/>
    <sheet name="Summary Graphs" sheetId="5" r:id="rId3"/>
    <sheet name="Parameters" sheetId="4" r:id="rId4"/>
    <sheet name="Example" sheetId="11" r:id="rId5"/>
    <sheet name="Background Calcs" sheetId="10" state="hidden" r:id="rId6"/>
  </sheets>
  <definedNames>
    <definedName name="_xlnm._FilterDatabase" localSheetId="1" hidden="1">'Energy Calculator'!#REF!</definedName>
    <definedName name="Electricity__kWh">'Energy Calculator'!$C$22:$C$33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1" i="1"/>
  <c r="H42" i="1"/>
  <c r="H43" i="1"/>
  <c r="H44" i="1"/>
  <c r="H45" i="1"/>
  <c r="H46" i="1"/>
  <c r="H47" i="1"/>
  <c r="H48" i="1"/>
  <c r="H49" i="1"/>
  <c r="H50" i="1"/>
  <c r="H51" i="1"/>
  <c r="H52" i="1"/>
  <c r="H23" i="1"/>
  <c r="H24" i="1"/>
  <c r="H25" i="1"/>
  <c r="H26" i="1"/>
  <c r="H27" i="1"/>
  <c r="H28" i="1"/>
  <c r="H29" i="1"/>
  <c r="H30" i="1"/>
  <c r="H31" i="1"/>
  <c r="H32" i="1"/>
  <c r="H33" i="1"/>
  <c r="H22" i="1"/>
  <c r="H41" i="1" s="1"/>
  <c r="K22" i="1"/>
  <c r="G34" i="1"/>
  <c r="H40" i="1"/>
  <c r="C23" i="10"/>
  <c r="H53" i="1" l="1"/>
  <c r="H34" i="1"/>
  <c r="D35" i="10"/>
  <c r="C25" i="10"/>
  <c r="C40" i="1" l="1"/>
  <c r="L40" i="1"/>
  <c r="C13" i="4"/>
  <c r="C10" i="4"/>
  <c r="C5" i="10" l="1"/>
  <c r="F6" i="10"/>
  <c r="F7" i="10"/>
  <c r="F8" i="10"/>
  <c r="F9" i="10"/>
  <c r="F10" i="10"/>
  <c r="F11" i="10"/>
  <c r="F12" i="10"/>
  <c r="F13" i="10"/>
  <c r="F14" i="10"/>
  <c r="F15" i="10"/>
  <c r="F16" i="10"/>
  <c r="F5" i="10"/>
  <c r="F17" i="10" l="1"/>
  <c r="G42" i="1"/>
  <c r="G43" i="1"/>
  <c r="G44" i="1"/>
  <c r="G45" i="1"/>
  <c r="G46" i="1"/>
  <c r="G47" i="1"/>
  <c r="G48" i="1"/>
  <c r="G49" i="1"/>
  <c r="G50" i="1"/>
  <c r="G51" i="1"/>
  <c r="G52" i="1"/>
  <c r="J12" i="1"/>
  <c r="B41" i="1"/>
  <c r="B42" i="1" s="1"/>
  <c r="B43" i="1" s="1"/>
  <c r="B44" i="1" s="1"/>
  <c r="B45" i="1" s="1"/>
  <c r="B46" i="1" s="1"/>
  <c r="B47" i="1" s="1"/>
  <c r="B48" i="1" s="1"/>
  <c r="B49" i="1" s="1"/>
  <c r="B50" i="1" s="1"/>
  <c r="B51" i="1" s="1"/>
  <c r="B52" i="1" s="1"/>
  <c r="D41" i="1"/>
  <c r="D42" i="1"/>
  <c r="L42" i="1" s="1"/>
  <c r="D43" i="1"/>
  <c r="D44" i="1"/>
  <c r="L44" i="1" s="1"/>
  <c r="D45" i="1"/>
  <c r="L45" i="1" s="1"/>
  <c r="D46" i="1"/>
  <c r="L46" i="1" s="1"/>
  <c r="D47" i="1"/>
  <c r="L47" i="1" s="1"/>
  <c r="D48" i="1"/>
  <c r="L48" i="1" s="1"/>
  <c r="D49" i="1"/>
  <c r="L49" i="1" s="1"/>
  <c r="D50" i="1"/>
  <c r="L50" i="1" s="1"/>
  <c r="D51" i="1"/>
  <c r="L51" i="1" s="1"/>
  <c r="D52" i="1"/>
  <c r="L52" i="1" s="1"/>
  <c r="G41" i="1" l="1"/>
  <c r="K47" i="1"/>
  <c r="K48" i="1"/>
  <c r="K49" i="1"/>
  <c r="K42" i="1"/>
  <c r="K50" i="1"/>
  <c r="K44" i="1"/>
  <c r="K45" i="1"/>
  <c r="K46" i="1"/>
  <c r="K43" i="1"/>
  <c r="K51" i="1"/>
  <c r="K52" i="1"/>
  <c r="K41" i="1"/>
  <c r="C6" i="4"/>
  <c r="C5" i="4"/>
  <c r="C11" i="4" l="1"/>
  <c r="E13" i="10" s="1"/>
  <c r="E12" i="10" l="1"/>
  <c r="E5" i="10"/>
  <c r="E8" i="10"/>
  <c r="E15" i="10"/>
  <c r="E11" i="10"/>
  <c r="E6" i="10"/>
  <c r="E10" i="10"/>
  <c r="E9" i="10"/>
  <c r="E7" i="10"/>
  <c r="E14" i="10"/>
  <c r="E16" i="10"/>
  <c r="C53" i="1"/>
  <c r="F35" i="10"/>
  <c r="G35" i="10"/>
  <c r="H35" i="10"/>
  <c r="I35" i="10"/>
  <c r="J35" i="10"/>
  <c r="K35" i="10"/>
  <c r="L35" i="10"/>
  <c r="M35" i="10"/>
  <c r="N35" i="10"/>
  <c r="O35" i="10"/>
  <c r="P35" i="10"/>
  <c r="Q35" i="10"/>
  <c r="R35" i="10"/>
  <c r="E35" i="10"/>
  <c r="C34" i="10"/>
  <c r="C33" i="10"/>
  <c r="C32" i="10"/>
  <c r="C31" i="10"/>
  <c r="C30" i="10"/>
  <c r="C29" i="10"/>
  <c r="C28" i="10"/>
  <c r="C27" i="10"/>
  <c r="C26" i="10"/>
  <c r="C24" i="10"/>
  <c r="F52" i="1"/>
  <c r="F51" i="1"/>
  <c r="F50" i="1"/>
  <c r="F49" i="1"/>
  <c r="F48" i="1"/>
  <c r="F47" i="1"/>
  <c r="F46" i="1"/>
  <c r="F45" i="1"/>
  <c r="F44" i="1"/>
  <c r="F43" i="1"/>
  <c r="F42" i="1"/>
  <c r="F41" i="1"/>
  <c r="E17" i="10" l="1"/>
  <c r="C9" i="10"/>
  <c r="J44" i="1"/>
  <c r="J48" i="1"/>
  <c r="J41" i="1"/>
  <c r="J49" i="1"/>
  <c r="J52" i="1"/>
  <c r="J42" i="1"/>
  <c r="J50" i="1"/>
  <c r="J43" i="1"/>
  <c r="J45" i="1"/>
  <c r="J46" i="1"/>
  <c r="J47" i="1"/>
  <c r="J51" i="1"/>
  <c r="B27" i="1"/>
  <c r="B26" i="1"/>
  <c r="B28" i="1"/>
  <c r="B29" i="1"/>
  <c r="B22" i="1"/>
  <c r="B30" i="1"/>
  <c r="B23" i="1"/>
  <c r="B31" i="1"/>
  <c r="B24" i="1"/>
  <c r="B32" i="1"/>
  <c r="B25" i="1"/>
  <c r="B33" i="1"/>
  <c r="B7" i="10"/>
  <c r="B25" i="10"/>
  <c r="B15" i="10"/>
  <c r="B33" i="10"/>
  <c r="C35" i="10"/>
  <c r="C8" i="10"/>
  <c r="C14" i="10"/>
  <c r="C13" i="10"/>
  <c r="C15" i="10"/>
  <c r="C16" i="10"/>
  <c r="C12" i="10"/>
  <c r="C11" i="10"/>
  <c r="C10" i="10"/>
  <c r="C6" i="10"/>
  <c r="C7" i="10"/>
  <c r="B11" i="10"/>
  <c r="B29" i="10"/>
  <c r="B8" i="10"/>
  <c r="B26" i="10"/>
  <c r="B12" i="10"/>
  <c r="B30" i="10"/>
  <c r="B16" i="10"/>
  <c r="B34" i="10"/>
  <c r="B5" i="10"/>
  <c r="B23" i="10"/>
  <c r="B9" i="10"/>
  <c r="B27" i="10"/>
  <c r="B13" i="10"/>
  <c r="B31" i="10"/>
  <c r="B6" i="10"/>
  <c r="B24" i="10"/>
  <c r="B10" i="10"/>
  <c r="B28" i="10"/>
  <c r="B14" i="10"/>
  <c r="B32" i="10"/>
  <c r="J33" i="1"/>
  <c r="J25" i="1"/>
  <c r="J30" i="1"/>
  <c r="J24" i="1"/>
  <c r="J23" i="1"/>
  <c r="J29" i="1"/>
  <c r="J27" i="1"/>
  <c r="J32" i="1"/>
  <c r="J31" i="1"/>
  <c r="J28" i="1"/>
  <c r="J22" i="1"/>
  <c r="J26" i="1"/>
  <c r="C17" i="10" l="1"/>
  <c r="C4" i="4"/>
  <c r="C7" i="4" l="1"/>
  <c r="C12" i="4" l="1"/>
  <c r="C34" i="1"/>
  <c r="K30" i="1" l="1"/>
  <c r="K28" i="1"/>
  <c r="K26" i="1"/>
  <c r="K29" i="1"/>
  <c r="K27" i="1"/>
  <c r="K25" i="1"/>
  <c r="K24" i="1"/>
  <c r="L43" i="1" s="1"/>
  <c r="K33" i="1"/>
  <c r="K31" i="1"/>
  <c r="K23" i="1"/>
  <c r="K32" i="1"/>
  <c r="D6" i="10"/>
  <c r="G53" i="1"/>
  <c r="D11" i="10"/>
  <c r="D8" i="10"/>
  <c r="G8" i="10" s="1"/>
  <c r="D14" i="10"/>
  <c r="D12" i="10"/>
  <c r="D5" i="10"/>
  <c r="D15" i="10"/>
  <c r="D10" i="10"/>
  <c r="D7" i="10"/>
  <c r="D13" i="10"/>
  <c r="D16" i="10"/>
  <c r="D9" i="10"/>
  <c r="D53" i="1"/>
  <c r="L41" i="1" l="1"/>
  <c r="D17" i="10"/>
  <c r="G5" i="10"/>
  <c r="G9" i="10"/>
  <c r="G14" i="10"/>
  <c r="G11" i="10"/>
  <c r="G12" i="10"/>
  <c r="G13" i="10"/>
  <c r="G6" i="10"/>
  <c r="G10" i="10"/>
  <c r="G7" i="10"/>
  <c r="K53" i="1" l="1"/>
  <c r="G15" i="10"/>
  <c r="G16" i="10" l="1"/>
  <c r="L53" i="1" l="1"/>
  <c r="K34" i="1"/>
  <c r="G17" i="10" l="1"/>
  <c r="D18" i="10" s="1"/>
  <c r="C18" i="10" l="1"/>
  <c r="C19" i="10" s="1"/>
  <c r="F18" i="10"/>
  <c r="D19" i="10"/>
  <c r="E18" i="10"/>
  <c r="E19" i="10" s="1"/>
  <c r="F19" i="10" l="1"/>
</calcChain>
</file>

<file path=xl/sharedStrings.xml><?xml version="1.0" encoding="utf-8"?>
<sst xmlns="http://schemas.openxmlformats.org/spreadsheetml/2006/main" count="119" uniqueCount="104">
  <si>
    <t> </t>
  </si>
  <si>
    <t> Energy Intensity Calculator - Packhouses</t>
  </si>
  <si>
    <t xml:space="preserve">Introduction </t>
  </si>
  <si>
    <t xml:space="preserve">The most important step in energy management and conservation is measuring and accounting for energy consumption.
EECA works with the indsutry to help businesses rew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</si>
  <si>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</si>
  <si>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</si>
  <si>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fill in monthly production data. The tool gives the options of multiple entries of differing batch types where the units for can be selected pending on output.</t>
  </si>
  <si>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</si>
  <si>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</si>
  <si>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GREEN (follow the example tab)</t>
  </si>
  <si>
    <t xml:space="preserve">This will show the energy used per kg of production for that month </t>
  </si>
  <si>
    <t>Total tons of CO2 emissions are also displayed.</t>
  </si>
  <si>
    <t>Repeat steps for each month and the tool will calculate the annual energy intensity along with displaying the month.</t>
  </si>
  <si>
    <t xml:space="preserve">This helps display variations in season and other anomalies. </t>
  </si>
  <si>
    <t>Key</t>
  </si>
  <si>
    <t>Editable</t>
  </si>
  <si>
    <t>Notes:</t>
  </si>
  <si>
    <t>Drop down selections</t>
  </si>
  <si>
    <t xml:space="preserve">Moving cells or changing calculations will cause inaccurate results </t>
  </si>
  <si>
    <t>Total sum of cells</t>
  </si>
  <si>
    <t xml:space="preserve">Do not change anything on the parameters tab, this will affect results  </t>
  </si>
  <si>
    <t>Calculation output</t>
  </si>
  <si>
    <t>Data Entry</t>
  </si>
  <si>
    <r>
      <rPr>
        <b/>
        <sz val="11"/>
        <color rgb="FF000000"/>
        <rFont val="Franklin Gothic Book"/>
        <family val="2"/>
      </rPr>
      <t>Note</t>
    </r>
    <r>
      <rPr>
        <sz val="11"/>
        <color rgb="FF000000"/>
        <rFont val="Franklin Gothic Book"/>
        <family val="2"/>
      </rPr>
      <t xml:space="preserve">: the purpose of this tool is to calculate scope 1 and 2 emissions for the energy used in the packhouse &amp; coolstore operations.
</t>
    </r>
  </si>
  <si>
    <t xml:space="preserve">Drop down selection </t>
  </si>
  <si>
    <t>Calculated Values</t>
  </si>
  <si>
    <t>Final Metrics</t>
  </si>
  <si>
    <t>Enter site details</t>
  </si>
  <si>
    <t>Column1</t>
  </si>
  <si>
    <t>Column2</t>
  </si>
  <si>
    <t>Total refigerated area</t>
  </si>
  <si>
    <t>Site name</t>
  </si>
  <si>
    <t>Start Date</t>
  </si>
  <si>
    <t>Region</t>
  </si>
  <si>
    <t>Total number of cool stores</t>
  </si>
  <si>
    <t>Total area m2</t>
  </si>
  <si>
    <t>Total</t>
  </si>
  <si>
    <t>South Canterbury</t>
  </si>
  <si>
    <t>Enter energy usage</t>
  </si>
  <si>
    <t>Enter monthly energy usage details below for the months specified:</t>
  </si>
  <si>
    <t>Energy &amp; Fuel consumption</t>
  </si>
  <si>
    <t>Total emissions</t>
  </si>
  <si>
    <t xml:space="preserve">Purchased Electricity (kWh) </t>
  </si>
  <si>
    <t>Onsite generated Electricity (kWh)</t>
  </si>
  <si>
    <t>Diesel (L)</t>
  </si>
  <si>
    <t>LPG (kg)</t>
  </si>
  <si>
    <t>Petrol (L)</t>
  </si>
  <si>
    <t>Total (kWh)</t>
  </si>
  <si>
    <t>kg CO2-e</t>
  </si>
  <si>
    <t xml:space="preserve">Annual production </t>
  </si>
  <si>
    <t>kg</t>
  </si>
  <si>
    <t xml:space="preserve">Energy intensity </t>
  </si>
  <si>
    <t xml:space="preserve">Emissions intensity </t>
  </si>
  <si>
    <t>kWh/m2</t>
  </si>
  <si>
    <t>kg CO2-e/m2</t>
  </si>
  <si>
    <t>Average</t>
  </si>
  <si>
    <t>Parameters and emissions factors</t>
  </si>
  <si>
    <t>Energy unit conversions</t>
  </si>
  <si>
    <t>References</t>
  </si>
  <si>
    <t xml:space="preserve">GJ to kWh </t>
  </si>
  <si>
    <t>LPG L to kWh</t>
  </si>
  <si>
    <t>https://www.elgas.com.au/blog/389-lpg-conversions-kg-litres-mj-kwh-and-m3/</t>
  </si>
  <si>
    <t>LPG kg to kWh</t>
  </si>
  <si>
    <t>Diesel L to kWh</t>
  </si>
  <si>
    <t>https://ir.canterbury.ac.nz/handle/10092/11527</t>
  </si>
  <si>
    <t>Petrol L to kWh</t>
  </si>
  <si>
    <t>CO2 emissions factors</t>
  </si>
  <si>
    <t>Electricity kWh to T CO2-e</t>
  </si>
  <si>
    <t>Incl. T&amp;D losses</t>
  </si>
  <si>
    <t>https://environment.govt.nz/guides/measuring-and-reporting-greenhouse-gas-emissions-guide-for-organisations/</t>
  </si>
  <si>
    <t>LPG kWh to T CO2-e</t>
  </si>
  <si>
    <t>Diesel kWh to T CO2-e</t>
  </si>
  <si>
    <t>Petrol kWh to T CO2-e</t>
  </si>
  <si>
    <t>Climate Data</t>
  </si>
  <si>
    <t>Average outside air temperatures for 2020-2024 were retrieved from CliFLo</t>
  </si>
  <si>
    <t>https://cliflo.niwa.co.nz/</t>
  </si>
  <si>
    <t>Last Updated</t>
  </si>
  <si>
    <t>T CO2-e</t>
  </si>
  <si>
    <t>Month</t>
  </si>
  <si>
    <t xml:space="preserve">Electricity </t>
  </si>
  <si>
    <t>Diesel</t>
  </si>
  <si>
    <t>LPG</t>
  </si>
  <si>
    <t xml:space="preserve">Petrol </t>
  </si>
  <si>
    <t>Production units</t>
  </si>
  <si>
    <t>Trays</t>
  </si>
  <si>
    <t>Boxes</t>
  </si>
  <si>
    <t>T</t>
  </si>
  <si>
    <t>Crates</t>
  </si>
  <si>
    <t>N/A</t>
  </si>
  <si>
    <t>OAT</t>
  </si>
  <si>
    <t>Manawatu-Whanganui</t>
  </si>
  <si>
    <t>Central Otago</t>
  </si>
  <si>
    <t xml:space="preserve">Levin EWS </t>
  </si>
  <si>
    <t>Northland</t>
  </si>
  <si>
    <t>Whakatane Ews</t>
  </si>
  <si>
    <t>Hawks Bay</t>
  </si>
  <si>
    <t xml:space="preserve">Nelson       </t>
  </si>
  <si>
    <t>Eastern BOP</t>
  </si>
  <si>
    <t>North Canterbury</t>
  </si>
  <si>
    <t>Masterton</t>
  </si>
  <si>
    <t>South Auckland</t>
  </si>
  <si>
    <t>Hamilton</t>
  </si>
  <si>
    <t>Taranaki</t>
  </si>
  <si>
    <t>Southland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</si>
</sst>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_-;\-* #,##0_-;_-* &quot;-&quot;??_-;_-@_-"/>
    <numFmt numFmtId="165" formatCode="#,##0.0"/>
    <numFmt numFmtId="166" formatCode="0.00000"/>
    <numFmt numFmtId="167" formatCode="0.0"/>
    <numFmt numFmtId="168" formatCode="0.000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Sitka Banner Bold"/>
    </font>
    <font>
      <sz val="11"/>
      <color theme="1"/>
      <name val="Franklin Gothic Book"/>
      <family val="2"/>
    </font>
    <font>
      <b/>
      <sz val="11"/>
      <color theme="1"/>
      <name val="Franklin Gothic Book"/>
      <family val="2"/>
    </font>
    <font>
      <u/>
      <sz val="11"/>
      <color theme="10"/>
      <name val="Calibri"/>
      <family val="2"/>
      <scheme val="minor"/>
    </font>
    <font>
      <b/>
      <sz val="14"/>
      <color theme="1"/>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u/>
      <sz val="11"/>
      <color theme="1"/>
      <name val="Calibri"/>
      <family val="2"/>
      <scheme val="minor"/>
    </font>
    <font>
      <b/>
      <sz val="11"/>
      <color rgb="FF000000"/>
      <name val="Franklin Gothic Book"/>
      <family val="2"/>
    </font>
    <font>
      <sz val="11"/>
      <color rgb="FF000000"/>
      <name val="Franklin Gothic Book"/>
      <family val="2"/>
    </font>
    <font>
      <b/>
      <sz val="11"/>
      <color rgb="FF000000"/>
      <name val="Calibri"/>
      <family val="2"/>
    </font>
    <font>
      <sz val="36"/>
      <color theme="0"/>
      <name val="Franklin Gothic Book"/>
      <family val="2"/>
    </font>
    <font>
      <sz val="11"/>
      <color rgb="FF000000"/>
      <name val="Calibri"/>
      <family val="2"/>
    </font>
    <font>
      <b/>
      <sz val="14"/>
      <name val="Sitka Banner Bold"/>
    </font>
    <font>
      <sz val="11"/>
      <name val="Franklin Gothic Book"/>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s>
  <fills count="14">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theme="4"/>
        <bgColor indexed="64"/>
      </patternFill>
    </fill>
    <fill>
      <patternFill patternType="solid">
        <fgColor rgb="FF164057"/>
        <bgColor rgb="FF000000"/>
      </patternFill>
    </fill>
    <fill>
      <patternFill patternType="solid">
        <fgColor rgb="FF164057"/>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style="thin">
        <color theme="0"/>
      </right>
      <top/>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bottom style="thin">
        <color theme="0"/>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70">
    <xf numFmtId="0" fontId="0" fillId="0" borderId="0" xfId="0"/>
    <xf numFmtId="0" fontId="4" fillId="0" borderId="0" xfId="0" applyFont="1"/>
    <xf numFmtId="0" fontId="6" fillId="0" borderId="0" xfId="2"/>
    <xf numFmtId="0" fontId="0" fillId="0" borderId="7" xfId="0" applyBorder="1"/>
    <xf numFmtId="3" fontId="5" fillId="0" borderId="0" xfId="0" applyNumberFormat="1" applyFont="1"/>
    <xf numFmtId="0" fontId="9" fillId="2" borderId="5" xfId="0" applyFont="1" applyFill="1" applyBorder="1"/>
    <xf numFmtId="0" fontId="9" fillId="2" borderId="6" xfId="0" applyFont="1" applyFill="1" applyBorder="1" applyAlignment="1">
      <alignment horizontal="centerContinuous" vertical="top"/>
    </xf>
    <xf numFmtId="0" fontId="10" fillId="2" borderId="6" xfId="0" applyFont="1" applyFill="1" applyBorder="1" applyAlignment="1">
      <alignment horizontal="centerContinuous"/>
    </xf>
    <xf numFmtId="0" fontId="10" fillId="2" borderId="10" xfId="0" applyFont="1" applyFill="1" applyBorder="1"/>
    <xf numFmtId="17" fontId="4" fillId="3" borderId="9" xfId="0" applyNumberFormat="1" applyFont="1" applyFill="1" applyBorder="1" applyAlignment="1">
      <alignment horizontal="left"/>
    </xf>
    <xf numFmtId="4" fontId="4" fillId="3" borderId="0" xfId="0" applyNumberFormat="1" applyFont="1" applyFill="1"/>
    <xf numFmtId="0" fontId="4" fillId="3" borderId="11" xfId="0" applyFont="1" applyFill="1" applyBorder="1"/>
    <xf numFmtId="0" fontId="5" fillId="3" borderId="9" xfId="0" applyFont="1" applyFill="1" applyBorder="1" applyAlignment="1">
      <alignment horizontal="left"/>
    </xf>
    <xf numFmtId="3" fontId="5" fillId="3" borderId="0" xfId="0" applyNumberFormat="1" applyFont="1" applyFill="1"/>
    <xf numFmtId="3" fontId="5" fillId="3" borderId="11" xfId="0" applyNumberFormat="1" applyFont="1" applyFill="1" applyBorder="1"/>
    <xf numFmtId="0" fontId="4" fillId="3" borderId="9" xfId="0" applyFont="1" applyFill="1" applyBorder="1"/>
    <xf numFmtId="10" fontId="4" fillId="3" borderId="0" xfId="0" applyNumberFormat="1" applyFont="1" applyFill="1"/>
    <xf numFmtId="0" fontId="4" fillId="3" borderId="12" xfId="0" applyFont="1" applyFill="1" applyBorder="1"/>
    <xf numFmtId="3" fontId="4" fillId="3" borderId="7" xfId="0" applyNumberFormat="1" applyFont="1" applyFill="1" applyBorder="1"/>
    <xf numFmtId="0" fontId="4" fillId="3" borderId="13" xfId="0" applyFont="1" applyFill="1" applyBorder="1"/>
    <xf numFmtId="0" fontId="9" fillId="2" borderId="5" xfId="0" applyFont="1" applyFill="1" applyBorder="1" applyAlignment="1">
      <alignment vertical="top"/>
    </xf>
    <xf numFmtId="0" fontId="9" fillId="2" borderId="6" xfId="0" applyFont="1" applyFill="1" applyBorder="1" applyAlignment="1">
      <alignment vertical="top"/>
    </xf>
    <xf numFmtId="0" fontId="9" fillId="2" borderId="6" xfId="0" applyFont="1" applyFill="1" applyBorder="1" applyAlignment="1">
      <alignment vertical="top" wrapText="1"/>
    </xf>
    <xf numFmtId="0" fontId="9" fillId="2" borderId="10" xfId="0" applyFont="1" applyFill="1" applyBorder="1" applyAlignment="1">
      <alignment vertical="top" wrapText="1"/>
    </xf>
    <xf numFmtId="17" fontId="4" fillId="3" borderId="9" xfId="0" applyNumberFormat="1" applyFont="1" applyFill="1" applyBorder="1"/>
    <xf numFmtId="167" fontId="4" fillId="3" borderId="0" xfId="0" applyNumberFormat="1" applyFont="1" applyFill="1"/>
    <xf numFmtId="165" fontId="4" fillId="3" borderId="0" xfId="0" applyNumberFormat="1" applyFont="1" applyFill="1"/>
    <xf numFmtId="165" fontId="4" fillId="3" borderId="11" xfId="0" applyNumberFormat="1" applyFont="1" applyFill="1" applyBorder="1"/>
    <xf numFmtId="165" fontId="5" fillId="3" borderId="7" xfId="0" applyNumberFormat="1" applyFont="1" applyFill="1" applyBorder="1"/>
    <xf numFmtId="165" fontId="5" fillId="3" borderId="13" xfId="0" applyNumberFormat="1" applyFont="1" applyFill="1" applyBorder="1"/>
    <xf numFmtId="0" fontId="0" fillId="0" borderId="14" xfId="0" applyBorder="1"/>
    <xf numFmtId="4" fontId="0" fillId="0" borderId="14" xfId="0" applyNumberFormat="1" applyBorder="1"/>
    <xf numFmtId="0" fontId="0" fillId="0" borderId="14" xfId="0" applyBorder="1" applyAlignment="1">
      <alignment horizontal="right"/>
    </xf>
    <xf numFmtId="0" fontId="6" fillId="0" borderId="14" xfId="2" applyBorder="1"/>
    <xf numFmtId="166" fontId="0" fillId="0" borderId="14" xfId="0" applyNumberFormat="1" applyBorder="1"/>
    <xf numFmtId="0" fontId="2" fillId="0" borderId="14" xfId="0" applyFont="1" applyBorder="1" applyAlignment="1">
      <alignment horizontal="right"/>
    </xf>
    <xf numFmtId="0" fontId="7" fillId="0" borderId="14" xfId="0" applyFont="1" applyBorder="1" applyAlignment="1">
      <alignment horizontal="left"/>
    </xf>
    <xf numFmtId="0" fontId="0" fillId="0" borderId="14" xfId="0" applyBorder="1" applyAlignment="1">
      <alignment horizontal="center"/>
    </xf>
    <xf numFmtId="0" fontId="0" fillId="0" borderId="16" xfId="0" applyBorder="1"/>
    <xf numFmtId="0" fontId="0" fillId="0" borderId="19" xfId="0" applyBorder="1"/>
    <xf numFmtId="0" fontId="0" fillId="0" borderId="15"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24" xfId="0" applyBorder="1"/>
    <xf numFmtId="0" fontId="2" fillId="0" borderId="18" xfId="0" applyFont="1" applyBorder="1" applyAlignment="1">
      <alignment horizontal="right"/>
    </xf>
    <xf numFmtId="0" fontId="0" fillId="0" borderId="25" xfId="0" applyBorder="1" applyAlignment="1">
      <alignment horizontal="right"/>
    </xf>
    <xf numFmtId="0" fontId="0" fillId="0" borderId="25" xfId="0" applyBorder="1"/>
    <xf numFmtId="166" fontId="0" fillId="0" borderId="25" xfId="0" applyNumberFormat="1" applyBorder="1"/>
    <xf numFmtId="0" fontId="6" fillId="0" borderId="25" xfId="2" applyBorder="1"/>
    <xf numFmtId="0" fontId="0" fillId="0" borderId="26" xfId="0" applyBorder="1"/>
    <xf numFmtId="0" fontId="0" fillId="0" borderId="27" xfId="0" applyBorder="1"/>
    <xf numFmtId="0" fontId="0" fillId="0" borderId="28" xfId="0" applyBorder="1"/>
    <xf numFmtId="0" fontId="6" fillId="0" borderId="19" xfId="2" applyBorder="1"/>
    <xf numFmtId="0" fontId="0" fillId="0" borderId="29" xfId="0" applyBorder="1"/>
    <xf numFmtId="0" fontId="4" fillId="0" borderId="0" xfId="0" applyFont="1" applyAlignment="1">
      <alignment horizontal="center"/>
    </xf>
    <xf numFmtId="0" fontId="3" fillId="0" borderId="0" xfId="0" applyFont="1" applyAlignment="1">
      <alignment vertical="center"/>
    </xf>
    <xf numFmtId="0" fontId="4" fillId="0" borderId="0" xfId="0" applyFont="1" applyAlignment="1">
      <alignment horizontal="left"/>
    </xf>
    <xf numFmtId="17" fontId="4" fillId="0" borderId="0" xfId="0" applyNumberFormat="1" applyFont="1" applyAlignment="1">
      <alignment horizontal="left"/>
    </xf>
    <xf numFmtId="0" fontId="5" fillId="0" borderId="0" xfId="0" applyFont="1"/>
    <xf numFmtId="164" fontId="4" fillId="0" borderId="0" xfId="1" applyNumberFormat="1" applyFont="1" applyFill="1" applyBorder="1"/>
    <xf numFmtId="164" fontId="4" fillId="0" borderId="0" xfId="1" applyNumberFormat="1" applyFont="1" applyFill="1" applyBorder="1" applyAlignment="1">
      <alignment horizontal="center"/>
    </xf>
    <xf numFmtId="17" fontId="4" fillId="0" borderId="13" xfId="0" applyNumberFormat="1" applyFont="1" applyBorder="1" applyAlignment="1">
      <alignment horizontal="left"/>
    </xf>
    <xf numFmtId="0" fontId="5" fillId="0" borderId="10" xfId="0" applyFont="1" applyBorder="1"/>
    <xf numFmtId="17" fontId="4" fillId="0" borderId="11" xfId="0" applyNumberFormat="1" applyFont="1" applyBorder="1" applyAlignment="1">
      <alignment horizontal="left"/>
    </xf>
    <xf numFmtId="49" fontId="11" fillId="0" borderId="0" xfId="0" applyNumberFormat="1" applyFont="1" applyAlignment="1">
      <alignment vertical="center"/>
    </xf>
    <xf numFmtId="49" fontId="11" fillId="0" borderId="0" xfId="1" applyNumberFormat="1" applyFont="1" applyFill="1" applyBorder="1" applyAlignment="1">
      <alignment vertical="center"/>
    </xf>
    <xf numFmtId="0" fontId="4" fillId="0" borderId="0" xfId="0" applyFont="1" applyAlignment="1">
      <alignment vertical="top" wrapText="1"/>
    </xf>
    <xf numFmtId="0" fontId="0" fillId="0" borderId="30" xfId="0" applyBorder="1"/>
    <xf numFmtId="0" fontId="0" fillId="0" borderId="31" xfId="0" applyBorder="1"/>
    <xf numFmtId="0" fontId="10" fillId="0" borderId="0" xfId="0" applyFont="1" applyAlignment="1">
      <alignment horizontal="left"/>
    </xf>
    <xf numFmtId="0" fontId="12" fillId="0" borderId="0" xfId="0" applyFont="1" applyAlignment="1">
      <alignment horizontal="center"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xf numFmtId="0" fontId="4" fillId="0" borderId="32" xfId="0" applyFont="1" applyBorder="1" applyAlignment="1">
      <alignment horizontal="center" vertical="center"/>
    </xf>
    <xf numFmtId="0" fontId="4" fillId="0" borderId="4" xfId="0" applyFont="1" applyBorder="1" applyAlignment="1">
      <alignment vertical="top"/>
    </xf>
    <xf numFmtId="0" fontId="4" fillId="0" borderId="1" xfId="0" applyFont="1" applyBorder="1" applyAlignment="1">
      <alignment vertical="top" wrapText="1"/>
    </xf>
    <xf numFmtId="0" fontId="4" fillId="0" borderId="33" xfId="0" applyFont="1" applyBorder="1" applyAlignment="1">
      <alignment horizontal="left" vertical="center" wrapText="1"/>
    </xf>
    <xf numFmtId="0" fontId="4" fillId="0" borderId="0" xfId="0" applyFont="1" applyAlignment="1">
      <alignment horizontal="center" vertical="top"/>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2" fillId="0" borderId="1" xfId="0" applyFont="1" applyBorder="1" applyAlignment="1">
      <alignment horizontal="center" vertical="center" wrapText="1"/>
    </xf>
    <xf numFmtId="0" fontId="2" fillId="0" borderId="18" xfId="0" applyFont="1" applyBorder="1"/>
    <xf numFmtId="14" fontId="0" fillId="0" borderId="14" xfId="0" applyNumberFormat="1" applyBorder="1"/>
    <xf numFmtId="0" fontId="13" fillId="0" borderId="14" xfId="0" applyFont="1" applyBorder="1" applyAlignment="1">
      <alignment horizontal="right"/>
    </xf>
    <xf numFmtId="168" fontId="0" fillId="0" borderId="14" xfId="0" applyNumberFormat="1" applyBorder="1"/>
    <xf numFmtId="0" fontId="12" fillId="0" borderId="0" xfId="0" applyFont="1" applyAlignment="1">
      <alignment vertical="center"/>
    </xf>
    <xf numFmtId="0" fontId="4" fillId="0" borderId="8" xfId="0" applyFont="1" applyBorder="1" applyAlignment="1">
      <alignment horizontal="center" vertical="center"/>
    </xf>
    <xf numFmtId="0" fontId="12" fillId="0" borderId="2" xfId="0" applyFont="1" applyBorder="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2" borderId="1" xfId="0" applyFont="1" applyFill="1" applyBorder="1" applyAlignment="1">
      <alignment horizontal="center" vertical="center"/>
    </xf>
    <xf numFmtId="0" fontId="16" fillId="5" borderId="34" xfId="0" applyFont="1" applyFill="1" applyBorder="1"/>
    <xf numFmtId="0" fontId="0" fillId="6" borderId="0" xfId="0" applyFill="1"/>
    <xf numFmtId="49" fontId="11" fillId="7" borderId="1" xfId="0" applyNumberFormat="1" applyFont="1" applyFill="1" applyBorder="1" applyAlignment="1">
      <alignment vertical="center"/>
    </xf>
    <xf numFmtId="49" fontId="11" fillId="8" borderId="1" xfId="1" applyNumberFormat="1" applyFont="1" applyFill="1" applyBorder="1" applyAlignment="1">
      <alignment vertical="center"/>
    </xf>
    <xf numFmtId="49" fontId="11" fillId="9" borderId="1" xfId="1" applyNumberFormat="1" applyFont="1" applyFill="1" applyBorder="1" applyAlignment="1">
      <alignment vertical="center"/>
    </xf>
    <xf numFmtId="49" fontId="11" fillId="10" borderId="1" xfId="0" applyNumberFormat="1" applyFont="1" applyFill="1" applyBorder="1" applyAlignment="1">
      <alignment vertical="center"/>
    </xf>
    <xf numFmtId="0" fontId="19" fillId="0" borderId="13"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xf>
    <xf numFmtId="0" fontId="20" fillId="0" borderId="4" xfId="0" applyFont="1" applyBorder="1" applyAlignment="1">
      <alignment vertical="center"/>
    </xf>
    <xf numFmtId="0" fontId="20" fillId="0" borderId="1" xfId="0" applyFont="1" applyBorder="1" applyAlignment="1">
      <alignment horizontal="center" vertical="center"/>
    </xf>
    <xf numFmtId="0" fontId="20" fillId="0" borderId="3" xfId="0" applyFont="1" applyBorder="1" applyAlignment="1">
      <alignment vertical="center"/>
    </xf>
    <xf numFmtId="164" fontId="4" fillId="11" borderId="1" xfId="1" applyNumberFormat="1" applyFont="1" applyFill="1" applyBorder="1"/>
    <xf numFmtId="164" fontId="4" fillId="11" borderId="1" xfId="1" applyNumberFormat="1" applyFont="1" applyFill="1" applyBorder="1" applyAlignment="1">
      <alignment horizontal="center"/>
    </xf>
    <xf numFmtId="164" fontId="5" fillId="11" borderId="1" xfId="1" applyNumberFormat="1" applyFont="1" applyFill="1" applyBorder="1"/>
    <xf numFmtId="164" fontId="4" fillId="9" borderId="1" xfId="1" applyNumberFormat="1" applyFont="1" applyFill="1" applyBorder="1"/>
    <xf numFmtId="43" fontId="4" fillId="9" borderId="1" xfId="1" applyFont="1" applyFill="1" applyBorder="1"/>
    <xf numFmtId="164" fontId="5" fillId="9" borderId="1" xfId="1" applyNumberFormat="1" applyFont="1" applyFill="1" applyBorder="1"/>
    <xf numFmtId="43" fontId="5" fillId="9" borderId="1" xfId="1" applyFont="1" applyFill="1" applyBorder="1"/>
    <xf numFmtId="164" fontId="4" fillId="9" borderId="1" xfId="1" applyNumberFormat="1" applyFont="1" applyFill="1" applyBorder="1" applyAlignment="1">
      <alignment horizontal="center"/>
    </xf>
    <xf numFmtId="164" fontId="4" fillId="10" borderId="1" xfId="1" applyNumberFormat="1" applyFont="1" applyFill="1" applyBorder="1" applyAlignment="1">
      <alignment horizontal="left" vertical="center"/>
    </xf>
    <xf numFmtId="0" fontId="4" fillId="10" borderId="6" xfId="0" applyFont="1" applyFill="1" applyBorder="1" applyAlignment="1">
      <alignment vertical="center"/>
    </xf>
    <xf numFmtId="0" fontId="4" fillId="7" borderId="10" xfId="0" applyFont="1" applyFill="1" applyBorder="1" applyAlignment="1">
      <alignment horizontal="left" vertical="center" wrapText="1"/>
    </xf>
    <xf numFmtId="17" fontId="4" fillId="7" borderId="8" xfId="0" applyNumberFormat="1" applyFont="1" applyFill="1" applyBorder="1" applyAlignment="1">
      <alignment horizontal="center" vertical="center"/>
    </xf>
    <xf numFmtId="164" fontId="4" fillId="7" borderId="1" xfId="1" applyNumberFormat="1" applyFont="1" applyFill="1" applyBorder="1" applyAlignment="1">
      <alignment horizontal="center"/>
    </xf>
    <xf numFmtId="164" fontId="4" fillId="7" borderId="1" xfId="1" applyNumberFormat="1" applyFont="1" applyFill="1" applyBorder="1" applyAlignment="1">
      <alignment horizontal="right"/>
    </xf>
    <xf numFmtId="0" fontId="0" fillId="12" borderId="35" xfId="0" applyFill="1" applyBorder="1"/>
    <xf numFmtId="0" fontId="0" fillId="12" borderId="36" xfId="0" applyFill="1" applyBorder="1"/>
    <xf numFmtId="0" fontId="0" fillId="12" borderId="37" xfId="0" applyFill="1" applyBorder="1"/>
    <xf numFmtId="0" fontId="23" fillId="12" borderId="0" xfId="0" applyFont="1" applyFill="1" applyAlignment="1">
      <alignment horizontal="left" wrapText="1" indent="1"/>
    </xf>
    <xf numFmtId="0" fontId="21" fillId="12" borderId="0" xfId="0" applyFont="1" applyFill="1" applyAlignment="1">
      <alignment horizontal="left" indent="2"/>
    </xf>
    <xf numFmtId="0" fontId="0" fillId="12" borderId="0" xfId="0" applyFill="1"/>
    <xf numFmtId="0" fontId="24" fillId="11" borderId="0" xfId="0" applyFont="1" applyFill="1" applyAlignment="1">
      <alignment horizontal="center"/>
    </xf>
    <xf numFmtId="0" fontId="24" fillId="11" borderId="0" xfId="0" applyFont="1" applyFill="1"/>
    <xf numFmtId="0" fontId="0" fillId="11" borderId="0" xfId="0" applyFill="1"/>
    <xf numFmtId="0" fontId="25" fillId="11" borderId="0" xfId="0" applyFont="1" applyFill="1"/>
    <xf numFmtId="0" fontId="2" fillId="11" borderId="0" xfId="0" applyFont="1" applyFill="1" applyAlignment="1">
      <alignment horizontal="left"/>
    </xf>
    <xf numFmtId="0" fontId="23" fillId="11" borderId="0" xfId="0" applyFont="1" applyFill="1" applyAlignment="1">
      <alignment vertical="center"/>
    </xf>
    <xf numFmtId="0" fontId="23" fillId="11" borderId="0" xfId="0" applyFont="1" applyFill="1"/>
    <xf numFmtId="0" fontId="26" fillId="12" borderId="37" xfId="0" applyFont="1" applyFill="1" applyBorder="1"/>
    <xf numFmtId="0" fontId="27" fillId="11" borderId="0" xfId="0" applyFont="1" applyFill="1" applyAlignment="1">
      <alignment vertical="center"/>
    </xf>
    <xf numFmtId="0" fontId="23" fillId="11" borderId="0" xfId="0" applyFont="1" applyFill="1" applyAlignment="1">
      <alignment horizontal="left" vertical="center" indent="1"/>
    </xf>
    <xf numFmtId="0" fontId="29" fillId="7" borderId="0" xfId="0" applyFont="1" applyFill="1"/>
    <xf numFmtId="0" fontId="29" fillId="11" borderId="0" xfId="0" applyFont="1" applyFill="1"/>
    <xf numFmtId="0" fontId="24" fillId="11" borderId="0" xfId="0" applyFont="1" applyFill="1" applyAlignment="1">
      <alignment vertical="center"/>
    </xf>
    <xf numFmtId="0" fontId="29" fillId="13" borderId="0" xfId="0" applyFont="1" applyFill="1"/>
    <xf numFmtId="0" fontId="29" fillId="8" borderId="0" xfId="0" applyFont="1" applyFill="1"/>
    <xf numFmtId="0" fontId="29" fillId="9" borderId="0" xfId="0" applyFont="1" applyFill="1"/>
    <xf numFmtId="0" fontId="26" fillId="12" borderId="0" xfId="0" applyFont="1" applyFill="1"/>
    <xf numFmtId="0" fontId="30" fillId="12" borderId="37" xfId="0" applyFont="1" applyFill="1" applyBorder="1"/>
    <xf numFmtId="0" fontId="0" fillId="12" borderId="38" xfId="0" applyFill="1" applyBorder="1"/>
    <xf numFmtId="0" fontId="0" fillId="12" borderId="39" xfId="0" applyFill="1" applyBorder="1"/>
    <xf numFmtId="0" fontId="22" fillId="11" borderId="0" xfId="0" applyFont="1" applyFill="1" applyAlignment="1">
      <alignment horizontal="left" vertical="center" wrapText="1" indent="2"/>
    </xf>
    <xf numFmtId="0" fontId="0" fillId="12" borderId="0" xfId="0" applyFill="1" applyAlignment="1">
      <alignment horizontal="center"/>
    </xf>
    <xf numFmtId="0" fontId="17" fillId="5" borderId="0" xfId="0" applyFont="1" applyFill="1" applyAlignment="1">
      <alignment horizontal="left" vertical="center"/>
    </xf>
    <xf numFmtId="0" fontId="18" fillId="5" borderId="0" xfId="0" applyFont="1" applyFill="1" applyAlignment="1">
      <alignment horizontal="left" vertical="center"/>
    </xf>
    <xf numFmtId="0" fontId="21" fillId="12" borderId="35" xfId="0" applyFont="1" applyFill="1" applyBorder="1" applyAlignment="1">
      <alignment horizontal="left" vertical="center" indent="2"/>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5" fillId="0" borderId="0" xfId="0" applyFont="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164" fontId="4" fillId="7" borderId="2" xfId="1" applyNumberFormat="1" applyFont="1" applyFill="1" applyBorder="1" applyAlignment="1">
      <alignment horizontal="center"/>
    </xf>
    <xf numFmtId="164" fontId="4" fillId="7" borderId="4" xfId="1" applyNumberFormat="1" applyFont="1" applyFill="1" applyBorder="1" applyAlignment="1">
      <alignment horizontal="center"/>
    </xf>
    <xf numFmtId="0" fontId="4" fillId="0" borderId="33" xfId="0" applyFont="1" applyBorder="1" applyAlignment="1">
      <alignment horizontal="left" vertical="center" wrapText="1"/>
    </xf>
  </cellXfs>
  <cellStyles count="3">
    <cellStyle name="Comma" xfId="1" builtinId="3"/>
    <cellStyle name="Hyperlink" xfId="2" builtinId="8"/>
    <cellStyle name="Normal" xfId="0" builtinId="0"/>
  </cellStyles>
  <dxfs count="6">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Sitka Banner Bold"/>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5"/>
      <tableStyleElement type="headerRow" dxfId="4"/>
    </tableStyle>
  </tableStyles>
  <colors>
    <mruColors>
      <color rgb="FF164057"/>
      <color rgb="FFB8CAD4"/>
      <color rgb="FF41B496"/>
      <color rgb="FF317575"/>
      <color rgb="FF388684"/>
      <color rgb="FF3E9694"/>
      <color rgb="FFAAC1C2"/>
      <color rgb="FFFFC7CE"/>
      <color rgb="FFFF9797"/>
      <color rgb="FFFF5050"/>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r>
              <a:rPr lang="en-NZ" sz="1800"/>
              <a:t>Total Energy Consumption per Month</a:t>
            </a:r>
          </a:p>
        </c:rich>
      </c:tx>
      <c:layout>
        <c:manualLayout>
          <c:xMode val="edge"/>
          <c:yMode val="edge"/>
          <c:x val="8.8579091547982738E-3"/>
          <c:y val="2.2030363745545331E-2"/>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872537777438015"/>
          <c:y val="0.21422885275553571"/>
          <c:w val="0.70065399417097407"/>
          <c:h val="0.65389157716125224"/>
        </c:manualLayout>
      </c:layout>
      <c:barChart>
        <c:barDir val="col"/>
        <c:grouping val="clustered"/>
        <c:varyColors val="0"/>
        <c:ser>
          <c:idx val="0"/>
          <c:order val="0"/>
          <c:spPr>
            <a:solidFill>
              <a:srgbClr val="317575"/>
            </a:solidFill>
            <a:ln>
              <a:noFill/>
            </a:ln>
            <a:effectLst/>
          </c:spPr>
          <c:invertIfNegative val="0"/>
          <c:cat>
            <c:numRef>
              <c:f>'Energy Calculator'!$B$22:$B$33</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Calculator'!$H$22:$H$33</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AD7-44E8-8E5F-3B2D7C29D578}"/>
            </c:ext>
          </c:extLst>
        </c:ser>
        <c:dLbls>
          <c:showLegendKey val="0"/>
          <c:showVal val="0"/>
          <c:showCatName val="0"/>
          <c:showSerName val="0"/>
          <c:showPercent val="0"/>
          <c:showBubbleSize val="0"/>
        </c:dLbls>
        <c:gapWidth val="100"/>
        <c:axId val="538320128"/>
        <c:axId val="993868464"/>
      </c:barChart>
      <c:lineChart>
        <c:grouping val="standard"/>
        <c:varyColors val="0"/>
        <c:ser>
          <c:idx val="1"/>
          <c:order val="1"/>
          <c:tx>
            <c:v>OAT</c:v>
          </c:tx>
          <c:spPr>
            <a:ln w="28575" cap="rnd">
              <a:solidFill>
                <a:srgbClr val="8CD0CE"/>
              </a:solidFill>
              <a:round/>
            </a:ln>
            <a:effectLst/>
          </c:spPr>
          <c:marker>
            <c:symbol val="none"/>
          </c:marker>
          <c:val>
            <c:numRef>
              <c:f>'Background Calcs'!$C$23:$C$34</c:f>
              <c:numCache>
                <c:formatCode>0.0</c:formatCode>
                <c:ptCount val="12"/>
                <c:pt idx="0">
                  <c:v>16.139086021505378</c:v>
                </c:pt>
                <c:pt idx="1">
                  <c:v>15.966435185185185</c:v>
                </c:pt>
                <c:pt idx="2">
                  <c:v>14.112096774193549</c:v>
                </c:pt>
                <c:pt idx="3">
                  <c:v>11.672499999999999</c:v>
                </c:pt>
                <c:pt idx="4">
                  <c:v>9.0008064516129025</c:v>
                </c:pt>
                <c:pt idx="5">
                  <c:v>6.5908333333333342</c:v>
                </c:pt>
                <c:pt idx="6">
                  <c:v>5.69758064516129</c:v>
                </c:pt>
                <c:pt idx="7">
                  <c:v>7.2612903225806456</c:v>
                </c:pt>
                <c:pt idx="8">
                  <c:v>9.18</c:v>
                </c:pt>
                <c:pt idx="9">
                  <c:v>10.720967741935484</c:v>
                </c:pt>
                <c:pt idx="10">
                  <c:v>13.233793103448274</c:v>
                </c:pt>
                <c:pt idx="11">
                  <c:v>14.899193548387096</c:v>
                </c:pt>
              </c:numCache>
            </c:numRef>
          </c:val>
          <c:smooth val="0"/>
          <c:extLst>
            <c:ext xmlns:c16="http://schemas.microsoft.com/office/drawing/2014/chart" uri="{C3380CC4-5D6E-409C-BE32-E72D297353CC}">
              <c16:uniqueId val="{00000000-4C33-4A34-9245-237077F7F84F}"/>
            </c:ext>
          </c:extLst>
        </c:ser>
        <c:dLbls>
          <c:showLegendKey val="0"/>
          <c:showVal val="0"/>
          <c:showCatName val="0"/>
          <c:showSerName val="0"/>
          <c:showPercent val="0"/>
          <c:showBubbleSize val="0"/>
        </c:dLbls>
        <c:marker val="1"/>
        <c:smooth val="0"/>
        <c:axId val="1983674800"/>
        <c:axId val="1979211824"/>
      </c:lineChart>
      <c:dateAx>
        <c:axId val="5383201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993868464"/>
        <c:crosses val="autoZero"/>
        <c:auto val="1"/>
        <c:lblOffset val="100"/>
        <c:baseTimeUnit val="months"/>
      </c:dateAx>
      <c:valAx>
        <c:axId val="99386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Energy Consumption (kWh)</a:t>
                </a:r>
              </a:p>
            </c:rich>
          </c:tx>
          <c:layout>
            <c:manualLayout>
              <c:xMode val="edge"/>
              <c:yMode val="edge"/>
              <c:x val="2.2171554255463615E-2"/>
              <c:y val="0.2949507532413149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538320128"/>
        <c:crosses val="autoZero"/>
        <c:crossBetween val="between"/>
      </c:valAx>
      <c:valAx>
        <c:axId val="1979211824"/>
        <c:scaling>
          <c:orientation val="minMax"/>
        </c:scaling>
        <c:delete val="0"/>
        <c:axPos val="r"/>
        <c:title>
          <c:tx>
            <c:rich>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Average Outside</a:t>
                </a:r>
              </a:p>
              <a:p>
                <a:pPr>
                  <a:defRPr sz="1200" b="1"/>
                </a:pPr>
                <a:r>
                  <a:rPr lang="en-NZ" sz="1200" b="1"/>
                  <a:t> Air Temperature (°C)</a:t>
                </a:r>
              </a:p>
            </c:rich>
          </c:tx>
          <c:layout>
            <c:manualLayout>
              <c:xMode val="edge"/>
              <c:yMode val="edge"/>
              <c:x val="0.89158486707566464"/>
              <c:y val="0.34813856121530584"/>
            </c:manualLayout>
          </c:layout>
          <c:overlay val="0"/>
          <c:spPr>
            <a:noFill/>
            <a:ln>
              <a:noFill/>
            </a:ln>
            <a:effectLst/>
          </c:spPr>
          <c:txPr>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83674800"/>
        <c:crosses val="max"/>
        <c:crossBetween val="between"/>
      </c:valAx>
      <c:catAx>
        <c:axId val="1983674800"/>
        <c:scaling>
          <c:orientation val="minMax"/>
        </c:scaling>
        <c:delete val="1"/>
        <c:axPos val="b"/>
        <c:majorTickMark val="out"/>
        <c:minorTickMark val="none"/>
        <c:tickLblPos val="nextTo"/>
        <c:crossAx val="1979211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Emission Breakdown by GHG Contributor</a:t>
            </a:r>
            <a:endParaRPr lang="en-NZ" b="0">
              <a:solidFill>
                <a:sysClr val="windowText" lastClr="000000"/>
              </a:solidFill>
              <a:effectLst/>
              <a:latin typeface="Franklin Gothic Book" panose="020B0503020102020204" pitchFamily="34" charset="0"/>
            </a:endParaRPr>
          </a:p>
        </c:rich>
      </c:tx>
      <c:layout>
        <c:manualLayout>
          <c:xMode val="edge"/>
          <c:yMode val="edge"/>
          <c:x val="1.146229604100930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272406435246004"/>
          <c:y val="0.1389455943934958"/>
          <c:w val="0.41030903359782156"/>
          <c:h val="0.69909023455061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B0-447E-A19D-2AF7E5504D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B0-447E-A19D-2AF7E5504D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B0-447E-A19D-2AF7E5504D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B0-447E-A19D-2AF7E5504D7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bg1"/>
                  </a:solidFill>
                  <a:round/>
                </a:ln>
                <a:effectLst/>
              </c:spPr>
            </c:leaderLines>
            <c:extLst>
              <c:ext xmlns:c15="http://schemas.microsoft.com/office/drawing/2012/chart" uri="{CE6537A1-D6FC-4f65-9D91-7224C49458BB}"/>
            </c:extLst>
          </c:dLbls>
          <c:cat>
            <c:strRef>
              <c:f>'Background Calcs'!$C$4:$F$4</c:f>
              <c:strCache>
                <c:ptCount val="4"/>
                <c:pt idx="0">
                  <c:v>Electricity </c:v>
                </c:pt>
                <c:pt idx="1">
                  <c:v>Diesel</c:v>
                </c:pt>
                <c:pt idx="2">
                  <c:v>LPG</c:v>
                </c:pt>
                <c:pt idx="3">
                  <c:v>Petrol </c:v>
                </c:pt>
              </c:strCache>
            </c:strRef>
          </c:cat>
          <c:val>
            <c:numRef>
              <c:f>'Background Calcs'!$C$19:$F$19</c:f>
              <c:numCache>
                <c:formatCode>#,##0</c:formatCode>
                <c:ptCount val="4"/>
                <c:pt idx="0">
                  <c:v>0</c:v>
                </c:pt>
                <c:pt idx="1">
                  <c:v>0</c:v>
                </c:pt>
                <c:pt idx="2">
                  <c:v>0</c:v>
                </c:pt>
                <c:pt idx="3">
                  <c:v>0</c:v>
                </c:pt>
              </c:numCache>
            </c:numRef>
          </c:val>
          <c:extLst>
            <c:ext xmlns:c16="http://schemas.microsoft.com/office/drawing/2014/chart" uri="{C3380CC4-5D6E-409C-BE32-E72D297353CC}">
              <c16:uniqueId val="{0000000C-94B0-447E-A19D-2AF7E5504D7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071334771776569"/>
          <c:y val="0.2177217501714343"/>
          <c:w val="0.70201654331637975"/>
          <c:h val="0.712918931890273"/>
        </c:manualLayout>
      </c:layout>
      <c:barChart>
        <c:barDir val="col"/>
        <c:grouping val="stacked"/>
        <c:varyColors val="0"/>
        <c:ser>
          <c:idx val="0"/>
          <c:order val="0"/>
          <c:tx>
            <c:strRef>
              <c:f>'Background Calcs'!$C$4</c:f>
              <c:strCache>
                <c:ptCount val="1"/>
                <c:pt idx="0">
                  <c:v>Electricity </c:v>
                </c:pt>
              </c:strCache>
            </c:strRef>
          </c:tx>
          <c:spPr>
            <a:solidFill>
              <a:schemeClr val="accent1"/>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73-4094-8CEF-1DEB819D9F6B}"/>
            </c:ext>
          </c:extLst>
        </c:ser>
        <c:ser>
          <c:idx val="1"/>
          <c:order val="1"/>
          <c:tx>
            <c:strRef>
              <c:f>'Background Calcs'!$D$4</c:f>
              <c:strCache>
                <c:ptCount val="1"/>
                <c:pt idx="0">
                  <c:v>Diesel</c:v>
                </c:pt>
              </c:strCache>
            </c:strRef>
          </c:tx>
          <c:spPr>
            <a:solidFill>
              <a:srgbClr val="3E9694"/>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E06-4AB5-AD22-AA54C7B001BB}"/>
            </c:ext>
          </c:extLst>
        </c:ser>
        <c:ser>
          <c:idx val="2"/>
          <c:order val="2"/>
          <c:tx>
            <c:strRef>
              <c:f>'Background Calcs'!$E$4</c:f>
              <c:strCache>
                <c:ptCount val="1"/>
                <c:pt idx="0">
                  <c:v>LPG</c:v>
                </c:pt>
              </c:strCache>
            </c:strRef>
          </c:tx>
          <c:spPr>
            <a:solidFill>
              <a:schemeClr val="accent3"/>
            </a:solidFill>
            <a:ln>
              <a:noFill/>
            </a:ln>
            <a:effectLst/>
          </c:spPr>
          <c:invertIfNegative val="0"/>
          <c:val>
            <c:numRef>
              <c:f>'Background Calcs'!$E$5:$E$16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E06-4AB5-AD22-AA54C7B001BB}"/>
            </c:ext>
          </c:extLst>
        </c:ser>
        <c:ser>
          <c:idx val="3"/>
          <c:order val="3"/>
          <c:tx>
            <c:strRef>
              <c:f>'Background Calcs'!$F$4</c:f>
              <c:strCache>
                <c:ptCount val="1"/>
                <c:pt idx="0">
                  <c:v>Petrol </c:v>
                </c:pt>
              </c:strCache>
            </c:strRef>
          </c:tx>
          <c:spPr>
            <a:solidFill>
              <a:schemeClr val="accent4"/>
            </a:solidFill>
            <a:ln>
              <a:noFill/>
            </a:ln>
            <a:effectLst/>
          </c:spPr>
          <c:invertIfNegative val="0"/>
          <c:val>
            <c:numRef>
              <c:f>'Background Calcs'!$F$5:$F$16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E06-4AB5-AD22-AA54C7B001BB}"/>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 CO</a:t>
                </a:r>
                <a:r>
                  <a:rPr lang="en-NZ" sz="1200" b="1" i="0" u="none" strike="noStrike" baseline="-25000">
                    <a:solidFill>
                      <a:sysClr val="windowText" lastClr="000000"/>
                    </a:solidFill>
                    <a:effectLst/>
                    <a:latin typeface="Franklin Gothic Book" panose="020B0503020102020204" pitchFamily="34" charset="0"/>
                  </a:rPr>
                  <a:t>2</a:t>
                </a:r>
                <a:r>
                  <a:rPr lang="en-NZ" sz="1200" b="1" i="0" u="none" strike="noStrike" baseline="0">
                    <a:solidFill>
                      <a:sysClr val="windowText" lastClr="000000"/>
                    </a:solidFill>
                    <a:effectLst/>
                    <a:latin typeface="Franklin Gothic Book" panose="020B0503020102020204" pitchFamily="34" charset="0"/>
                  </a:rPr>
                  <a:t>-e)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spPr>
        <a:noFill/>
        <a:ln>
          <a:noFill/>
        </a:ln>
        <a:effectLst/>
      </c:spPr>
    </c:plotArea>
    <c:legend>
      <c:legendPos val="r"/>
      <c:layout>
        <c:manualLayout>
          <c:xMode val="edge"/>
          <c:yMode val="edge"/>
          <c:x val="0.86852083613965048"/>
          <c:y val="0.25425472213214906"/>
          <c:w val="0.10141177142903793"/>
          <c:h val="0.5937329847186161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1894999</xdr:colOff>
      <xdr:row>0</xdr:row>
      <xdr:rowOff>234316</xdr:rowOff>
    </xdr:from>
    <xdr:to>
      <xdr:col>17</xdr:col>
      <xdr:colOff>49689</xdr:colOff>
      <xdr:row>0</xdr:row>
      <xdr:rowOff>1340939</xdr:rowOff>
    </xdr:to>
    <xdr:pic>
      <xdr:nvPicPr>
        <xdr:cNvPr id="8" name="Picture 2">
          <a:extLst>
            <a:ext uri="{FF2B5EF4-FFF2-40B4-BE49-F238E27FC236}">
              <a16:creationId xmlns:a16="http://schemas.microsoft.com/office/drawing/2014/main" id="{C99DE5A9-4930-409E-A03D-2FA677BF67DF}"/>
            </a:ext>
          </a:extLst>
        </xdr:cNvPr>
        <xdr:cNvPicPr>
          <a:picLocks noChangeAspect="1"/>
        </xdr:cNvPicPr>
      </xdr:nvPicPr>
      <xdr:blipFill>
        <a:blip xmlns:r="http://schemas.openxmlformats.org/officeDocument/2006/relationships" r:embed="rId1"/>
        <a:stretch>
          <a:fillRect/>
        </a:stretch>
      </xdr:blipFill>
      <xdr:spPr>
        <a:xfrm>
          <a:off x="15991999" y="234316"/>
          <a:ext cx="1913890" cy="1103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544287</xdr:colOff>
      <xdr:row>0</xdr:row>
      <xdr:rowOff>231322</xdr:rowOff>
    </xdr:from>
    <xdr:to>
      <xdr:col>14</xdr:col>
      <xdr:colOff>94914</xdr:colOff>
      <xdr:row>0</xdr:row>
      <xdr:rowOff>1332865</xdr:rowOff>
    </xdr:to>
    <xdr:pic>
      <xdr:nvPicPr>
        <xdr:cNvPr id="6" name="Picture 5">
          <a:extLst>
            <a:ext uri="{FF2B5EF4-FFF2-40B4-BE49-F238E27FC236}">
              <a16:creationId xmlns:a16="http://schemas.microsoft.com/office/drawing/2014/main" id="{09CE546A-2D17-41DF-AAA0-BCAD2840603C}"/>
            </a:ext>
          </a:extLst>
        </xdr:cNvPr>
        <xdr:cNvPicPr>
          <a:picLocks noChangeAspect="1"/>
        </xdr:cNvPicPr>
      </xdr:nvPicPr>
      <xdr:blipFill>
        <a:blip xmlns:r="http://schemas.openxmlformats.org/officeDocument/2006/relationships" r:embed="rId1"/>
        <a:stretch>
          <a:fillRect/>
        </a:stretch>
      </xdr:blipFill>
      <xdr:spPr>
        <a:xfrm>
          <a:off x="15049501" y="231322"/>
          <a:ext cx="192779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161925</xdr:rowOff>
    </xdr:from>
    <xdr:to>
      <xdr:col>20</xdr:col>
      <xdr:colOff>0</xdr:colOff>
      <xdr:row>37</xdr:row>
      <xdr:rowOff>145863</xdr:rowOff>
    </xdr:to>
    <xdr:graphicFrame macro="">
      <xdr:nvGraphicFramePr>
        <xdr:cNvPr id="2" name="Chart 1">
          <a:extLst>
            <a:ext uri="{FF2B5EF4-FFF2-40B4-BE49-F238E27FC236}">
              <a16:creationId xmlns:a16="http://schemas.microsoft.com/office/drawing/2014/main" id="{E18F1C37-7847-4648-8B4B-B4B597040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64</xdr:row>
      <xdr:rowOff>81242</xdr:rowOff>
    </xdr:from>
    <xdr:to>
      <xdr:col>20</xdr:col>
      <xdr:colOff>0</xdr:colOff>
      <xdr:row>98</xdr:row>
      <xdr:rowOff>170330</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133351</xdr:rowOff>
    </xdr:from>
    <xdr:to>
      <xdr:col>20</xdr:col>
      <xdr:colOff>57150</xdr:colOff>
      <xdr:row>60</xdr:row>
      <xdr:rowOff>66675</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76200</xdr:colOff>
      <xdr:row>0</xdr:row>
      <xdr:rowOff>228600</xdr:rowOff>
    </xdr:from>
    <xdr:to>
      <xdr:col>19</xdr:col>
      <xdr:colOff>114235</xdr:colOff>
      <xdr:row>0</xdr:row>
      <xdr:rowOff>1330143</xdr:rowOff>
    </xdr:to>
    <xdr:pic>
      <xdr:nvPicPr>
        <xdr:cNvPr id="6" name="Picture 5">
          <a:extLst>
            <a:ext uri="{FF2B5EF4-FFF2-40B4-BE49-F238E27FC236}">
              <a16:creationId xmlns:a16="http://schemas.microsoft.com/office/drawing/2014/main" id="{68BF9F19-A973-418B-959F-75B6C6BFCB84}"/>
            </a:ext>
          </a:extLst>
        </xdr:cNvPr>
        <xdr:cNvPicPr>
          <a:picLocks noChangeAspect="1"/>
        </xdr:cNvPicPr>
      </xdr:nvPicPr>
      <xdr:blipFill>
        <a:blip xmlns:r="http://schemas.openxmlformats.org/officeDocument/2006/relationships" r:embed="rId4"/>
        <a:stretch>
          <a:fillRect/>
        </a:stretch>
      </xdr:blipFill>
      <xdr:spPr>
        <a:xfrm>
          <a:off x="10134600" y="228600"/>
          <a:ext cx="1923985" cy="1101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365125</xdr:colOff>
      <xdr:row>17</xdr:row>
      <xdr:rowOff>95788</xdr:rowOff>
    </xdr:from>
    <xdr:to>
      <xdr:col>35</xdr:col>
      <xdr:colOff>114873</xdr:colOff>
      <xdr:row>34</xdr:row>
      <xdr:rowOff>45720</xdr:rowOff>
    </xdr:to>
    <xdr:pic>
      <xdr:nvPicPr>
        <xdr:cNvPr id="21" name="Picture 20">
          <a:extLst>
            <a:ext uri="{FF2B5EF4-FFF2-40B4-BE49-F238E27FC236}">
              <a16:creationId xmlns:a16="http://schemas.microsoft.com/office/drawing/2014/main" id="{5100CA45-B8D5-C4B5-08C5-F02BFAC287B0}"/>
            </a:ext>
          </a:extLst>
        </xdr:cNvPr>
        <xdr:cNvPicPr>
          <a:picLocks noChangeAspect="1"/>
        </xdr:cNvPicPr>
      </xdr:nvPicPr>
      <xdr:blipFill>
        <a:blip xmlns:r="http://schemas.openxmlformats.org/officeDocument/2006/relationships" r:embed="rId1"/>
        <a:stretch>
          <a:fillRect/>
        </a:stretch>
      </xdr:blipFill>
      <xdr:spPr>
        <a:xfrm>
          <a:off x="11826875" y="3064413"/>
          <a:ext cx="9401748" cy="2918557"/>
        </a:xfrm>
        <a:prstGeom prst="rect">
          <a:avLst/>
        </a:prstGeom>
      </xdr:spPr>
    </xdr:pic>
    <xdr:clientData/>
  </xdr:twoCellAnchor>
  <xdr:twoCellAnchor editAs="oneCell">
    <xdr:from>
      <xdr:col>1</xdr:col>
      <xdr:colOff>325119</xdr:colOff>
      <xdr:row>6</xdr:row>
      <xdr:rowOff>45151</xdr:rowOff>
    </xdr:from>
    <xdr:to>
      <xdr:col>16</xdr:col>
      <xdr:colOff>438150</xdr:colOff>
      <xdr:row>34</xdr:row>
      <xdr:rowOff>101466</xdr:rowOff>
    </xdr:to>
    <xdr:pic>
      <xdr:nvPicPr>
        <xdr:cNvPr id="20" name="Picture 19">
          <a:extLst>
            <a:ext uri="{FF2B5EF4-FFF2-40B4-BE49-F238E27FC236}">
              <a16:creationId xmlns:a16="http://schemas.microsoft.com/office/drawing/2014/main" id="{B7F5D1DD-F887-65E1-7C18-DA1B56BC417C}"/>
            </a:ext>
          </a:extLst>
        </xdr:cNvPr>
        <xdr:cNvPicPr>
          <a:picLocks noChangeAspect="1"/>
        </xdr:cNvPicPr>
      </xdr:nvPicPr>
      <xdr:blipFill>
        <a:blip xmlns:r="http://schemas.openxmlformats.org/officeDocument/2006/relationships" r:embed="rId2"/>
        <a:stretch>
          <a:fillRect/>
        </a:stretch>
      </xdr:blipFill>
      <xdr:spPr>
        <a:xfrm>
          <a:off x="928369" y="1092901"/>
          <a:ext cx="9161781" cy="4945815"/>
        </a:xfrm>
        <a:prstGeom prst="rect">
          <a:avLst/>
        </a:prstGeom>
      </xdr:spPr>
    </xdr:pic>
    <xdr:clientData/>
  </xdr:twoCellAnchor>
  <xdr:twoCellAnchor>
    <xdr:from>
      <xdr:col>0</xdr:col>
      <xdr:colOff>114300</xdr:colOff>
      <xdr:row>10</xdr:row>
      <xdr:rowOff>38100</xdr:rowOff>
    </xdr:from>
    <xdr:to>
      <xdr:col>2</xdr:col>
      <xdr:colOff>38100</xdr:colOff>
      <xdr:row>15</xdr:row>
      <xdr:rowOff>66676</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114300" y="1847850"/>
          <a:ext cx="1143000" cy="933451"/>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3</xdr:col>
      <xdr:colOff>190500</xdr:colOff>
      <xdr:row>2</xdr:row>
      <xdr:rowOff>57150</xdr:rowOff>
    </xdr:from>
    <xdr:to>
      <xdr:col>5</xdr:col>
      <xdr:colOff>323850</xdr:colOff>
      <xdr:row>11</xdr:row>
      <xdr:rowOff>158750</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2019300" y="419100"/>
          <a:ext cx="1352550" cy="17303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start date dor data entry. Date will change resectively to refelct start date entered </a:t>
          </a:r>
        </a:p>
      </xdr:txBody>
    </xdr:sp>
    <xdr:clientData/>
  </xdr:twoCellAnchor>
  <xdr:twoCellAnchor>
    <xdr:from>
      <xdr:col>5</xdr:col>
      <xdr:colOff>323850</xdr:colOff>
      <xdr:row>2</xdr:row>
      <xdr:rowOff>57151</xdr:rowOff>
    </xdr:from>
    <xdr:to>
      <xdr:col>7</xdr:col>
      <xdr:colOff>552450</xdr:colOff>
      <xdr:row>12</xdr:row>
      <xdr:rowOff>6350</xdr:rowOff>
    </xdr:to>
    <xdr:sp macro="" textlink="">
      <xdr:nvSpPr>
        <xdr:cNvPr id="7" name="Callout: Down Arrow 6">
          <a:extLst>
            <a:ext uri="{FF2B5EF4-FFF2-40B4-BE49-F238E27FC236}">
              <a16:creationId xmlns:a16="http://schemas.microsoft.com/office/drawing/2014/main" id="{62EA7708-0F0B-4678-926D-80A75191ADD5}"/>
            </a:ext>
          </a:extLst>
        </xdr:cNvPr>
        <xdr:cNvSpPr/>
      </xdr:nvSpPr>
      <xdr:spPr>
        <a:xfrm>
          <a:off x="3371850" y="419101"/>
          <a:ext cx="1447800" cy="1758949"/>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region site is located. This will pull the average weather data for comparioson in the summary graphs </a:t>
          </a:r>
        </a:p>
      </xdr:txBody>
    </xdr:sp>
    <xdr:clientData/>
  </xdr:twoCellAnchor>
  <xdr:twoCellAnchor>
    <xdr:from>
      <xdr:col>8</xdr:col>
      <xdr:colOff>250825</xdr:colOff>
      <xdr:row>2</xdr:row>
      <xdr:rowOff>41276</xdr:rowOff>
    </xdr:from>
    <xdr:to>
      <xdr:col>10</xdr:col>
      <xdr:colOff>384175</xdr:colOff>
      <xdr:row>12</xdr:row>
      <xdr:rowOff>9526</xdr:rowOff>
    </xdr:to>
    <xdr:sp macro="" textlink="">
      <xdr:nvSpPr>
        <xdr:cNvPr id="8" name="Callout: Down Arrow 7">
          <a:extLst>
            <a:ext uri="{FF2B5EF4-FFF2-40B4-BE49-F238E27FC236}">
              <a16:creationId xmlns:a16="http://schemas.microsoft.com/office/drawing/2014/main" id="{BD6A99B0-8DB2-4FE8-B49C-2EE8952A7198}"/>
            </a:ext>
          </a:extLst>
        </xdr:cNvPr>
        <xdr:cNvSpPr/>
      </xdr:nvSpPr>
      <xdr:spPr>
        <a:xfrm>
          <a:off x="5076825" y="422276"/>
          <a:ext cx="1339850" cy="1873250"/>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number of cool store located on the site</a:t>
          </a:r>
        </a:p>
      </xdr:txBody>
    </xdr:sp>
    <xdr:clientData/>
  </xdr:twoCellAnchor>
  <xdr:twoCellAnchor>
    <xdr:from>
      <xdr:col>10</xdr:col>
      <xdr:colOff>377825</xdr:colOff>
      <xdr:row>2</xdr:row>
      <xdr:rowOff>63499</xdr:rowOff>
    </xdr:from>
    <xdr:to>
      <xdr:col>12</xdr:col>
      <xdr:colOff>511175</xdr:colOff>
      <xdr:row>11</xdr:row>
      <xdr:rowOff>168274</xdr:rowOff>
    </xdr:to>
    <xdr:sp macro="" textlink="">
      <xdr:nvSpPr>
        <xdr:cNvPr id="9" name="Callout: Down Arrow 8">
          <a:extLst>
            <a:ext uri="{FF2B5EF4-FFF2-40B4-BE49-F238E27FC236}">
              <a16:creationId xmlns:a16="http://schemas.microsoft.com/office/drawing/2014/main" id="{AC8DFAA1-C2D8-4E4D-AFA3-74E8C45EB5F6}"/>
            </a:ext>
          </a:extLst>
        </xdr:cNvPr>
        <xdr:cNvSpPr/>
      </xdr:nvSpPr>
      <xdr:spPr>
        <a:xfrm>
          <a:off x="6410325" y="444499"/>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floor space of refigerated area. Or best estimate. </a:t>
          </a:r>
        </a:p>
      </xdr:txBody>
    </xdr:sp>
    <xdr:clientData/>
  </xdr:twoCellAnchor>
  <xdr:twoCellAnchor>
    <xdr:from>
      <xdr:col>0</xdr:col>
      <xdr:colOff>244475</xdr:colOff>
      <xdr:row>17</xdr:row>
      <xdr:rowOff>28575</xdr:rowOff>
    </xdr:from>
    <xdr:to>
      <xdr:col>2</xdr:col>
      <xdr:colOff>168275</xdr:colOff>
      <xdr:row>28</xdr:row>
      <xdr:rowOff>95250</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244475" y="3105150"/>
          <a:ext cx="1143000" cy="2057400"/>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senergy and</a:t>
          </a:r>
          <a:r>
            <a:rPr lang="en-NZ" sz="1100" baseline="0">
              <a:solidFill>
                <a:schemeClr val="bg1"/>
              </a:solidFill>
            </a:rPr>
            <a:t> fuel use over each month. </a:t>
          </a:r>
        </a:p>
        <a:p>
          <a:pPr algn="l"/>
          <a:r>
            <a:rPr lang="en-NZ" sz="1100" baseline="0">
              <a:solidFill>
                <a:schemeClr val="bg1"/>
              </a:solidFill>
            </a:rPr>
            <a:t>These can be foun don invoices or bills</a:t>
          </a:r>
          <a:endParaRPr lang="en-NZ" sz="1100">
            <a:solidFill>
              <a:schemeClr val="bg1"/>
            </a:solidFill>
          </a:endParaRPr>
        </a:p>
      </xdr:txBody>
    </xdr:sp>
    <xdr:clientData/>
  </xdr:twoCellAnchor>
  <xdr:twoCellAnchor>
    <xdr:from>
      <xdr:col>2</xdr:col>
      <xdr:colOff>190500</xdr:colOff>
      <xdr:row>33</xdr:row>
      <xdr:rowOff>116416</xdr:rowOff>
    </xdr:from>
    <xdr:to>
      <xdr:col>5</xdr:col>
      <xdr:colOff>222250</xdr:colOff>
      <xdr:row>43</xdr:row>
      <xdr:rowOff>148166</xdr:rowOff>
    </xdr:to>
    <xdr:sp macro="" textlink="">
      <xdr:nvSpPr>
        <xdr:cNvPr id="5" name="Callout: Up Arrow 4">
          <a:extLst>
            <a:ext uri="{FF2B5EF4-FFF2-40B4-BE49-F238E27FC236}">
              <a16:creationId xmlns:a16="http://schemas.microsoft.com/office/drawing/2014/main" id="{38B8387B-7ACA-72FA-8A02-A2A6323C96F5}"/>
            </a:ext>
          </a:extLst>
        </xdr:cNvPr>
        <xdr:cNvSpPr/>
      </xdr:nvSpPr>
      <xdr:spPr>
        <a:xfrm>
          <a:off x="1418167" y="6053666"/>
          <a:ext cx="1873250" cy="183091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both purchased electricity and electricity generated on site</a:t>
          </a:r>
          <a:r>
            <a:rPr lang="en-NZ" sz="1100" baseline="0">
              <a:solidFill>
                <a:schemeClr val="bg1"/>
              </a:solidFill>
            </a:rPr>
            <a:t> (for example solar)</a:t>
          </a:r>
          <a:endParaRPr lang="en-NZ" sz="1100">
            <a:solidFill>
              <a:schemeClr val="bg1"/>
            </a:solidFill>
          </a:endParaRPr>
        </a:p>
      </xdr:txBody>
    </xdr:sp>
    <xdr:clientData/>
  </xdr:twoCellAnchor>
  <xdr:twoCellAnchor>
    <xdr:from>
      <xdr:col>5</xdr:col>
      <xdr:colOff>311151</xdr:colOff>
      <xdr:row>33</xdr:row>
      <xdr:rowOff>152399</xdr:rowOff>
    </xdr:from>
    <xdr:to>
      <xdr:col>8</xdr:col>
      <xdr:colOff>342901</xdr:colOff>
      <xdr:row>43</xdr:row>
      <xdr:rowOff>116416</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3380318" y="6089649"/>
          <a:ext cx="1873250" cy="1763184"/>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cobustion</a:t>
          </a:r>
          <a:r>
            <a:rPr lang="en-NZ" sz="1100" baseline="0">
              <a:solidFill>
                <a:schemeClr val="bg1"/>
              </a:solidFill>
            </a:rPr>
            <a:t>. This may be used in items such as forklifts, off road equipment and cars. </a:t>
          </a:r>
        </a:p>
        <a:p>
          <a:pPr algn="l"/>
          <a:r>
            <a:rPr lang="en-NZ" sz="1100" baseline="0">
              <a:solidFill>
                <a:schemeClr val="bg1"/>
              </a:solidFill>
            </a:rPr>
            <a:t>This should not include thrid party fright</a:t>
          </a:r>
        </a:p>
      </xdr:txBody>
    </xdr:sp>
    <xdr:clientData/>
  </xdr:twoCellAnchor>
  <xdr:twoCellAnchor>
    <xdr:from>
      <xdr:col>8</xdr:col>
      <xdr:colOff>463551</xdr:colOff>
      <xdr:row>33</xdr:row>
      <xdr:rowOff>156633</xdr:rowOff>
    </xdr:from>
    <xdr:to>
      <xdr:col>11</xdr:col>
      <xdr:colOff>495301</xdr:colOff>
      <xdr:row>43</xdr:row>
      <xdr:rowOff>148166</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374218" y="609388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convereted to kWh using the units in the parameters tab.</a:t>
          </a:r>
        </a:p>
      </xdr:txBody>
    </xdr:sp>
    <xdr:clientData/>
  </xdr:twoCellAnchor>
  <xdr:twoCellAnchor>
    <xdr:from>
      <xdr:col>12</xdr:col>
      <xdr:colOff>97368</xdr:colOff>
      <xdr:row>33</xdr:row>
      <xdr:rowOff>171450</xdr:rowOff>
    </xdr:from>
    <xdr:to>
      <xdr:col>15</xdr:col>
      <xdr:colOff>571500</xdr:colOff>
      <xdr:row>43</xdr:row>
      <xdr:rowOff>162983</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7463368" y="6108700"/>
          <a:ext cx="2315632"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CO2-e of the inputs. Each input is convereted to CO2-e using the units in the parameters tab. Note any onsite electricity generation in calcuated as zero emissions.</a:t>
          </a:r>
        </a:p>
      </xdr:txBody>
    </xdr:sp>
    <xdr:clientData/>
  </xdr:twoCellAnchor>
  <xdr:twoCellAnchor>
    <xdr:from>
      <xdr:col>21</xdr:col>
      <xdr:colOff>530225</xdr:colOff>
      <xdr:row>7</xdr:row>
      <xdr:rowOff>168274</xdr:rowOff>
    </xdr:from>
    <xdr:to>
      <xdr:col>24</xdr:col>
      <xdr:colOff>60325</xdr:colOff>
      <xdr:row>17</xdr:row>
      <xdr:rowOff>82549</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198475" y="1501774"/>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20</xdr:col>
      <xdr:colOff>12701</xdr:colOff>
      <xdr:row>34</xdr:row>
      <xdr:rowOff>12699</xdr:rowOff>
    </xdr:from>
    <xdr:to>
      <xdr:col>23</xdr:col>
      <xdr:colOff>44451</xdr:colOff>
      <xdr:row>44</xdr:row>
      <xdr:rowOff>4233</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289368" y="6129866"/>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porduction data for the</a:t>
          </a:r>
          <a:r>
            <a:rPr lang="en-NZ" sz="1100" baseline="0">
              <a:solidFill>
                <a:schemeClr val="bg1"/>
              </a:solidFill>
            </a:rPr>
            <a:t> site based on the selected production unit.</a:t>
          </a:r>
        </a:p>
      </xdr:txBody>
    </xdr:sp>
    <xdr:clientData/>
  </xdr:twoCellAnchor>
  <xdr:twoCellAnchor>
    <xdr:from>
      <xdr:col>26</xdr:col>
      <xdr:colOff>493185</xdr:colOff>
      <xdr:row>33</xdr:row>
      <xdr:rowOff>69849</xdr:rowOff>
    </xdr:from>
    <xdr:to>
      <xdr:col>29</xdr:col>
      <xdr:colOff>524935</xdr:colOff>
      <xdr:row>43</xdr:row>
      <xdr:rowOff>61382</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6452852" y="6007099"/>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calutate the monthly average.</a:t>
          </a:r>
          <a:r>
            <a:rPr lang="en-NZ" sz="1100" baseline="0">
              <a:solidFill>
                <a:schemeClr val="bg1"/>
              </a:solidFill>
            </a:rPr>
            <a:t> This will demonstatre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26</xdr:col>
      <xdr:colOff>444500</xdr:colOff>
      <xdr:row>8</xdr:row>
      <xdr:rowOff>41274</xdr:rowOff>
    </xdr:from>
    <xdr:to>
      <xdr:col>29</xdr:col>
      <xdr:colOff>529166</xdr:colOff>
      <xdr:row>17</xdr:row>
      <xdr:rowOff>135465</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6404167" y="1480607"/>
          <a:ext cx="1926166"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calucates the energy in kWh required to produce 1 unit</a:t>
          </a:r>
          <a:r>
            <a:rPr lang="en-NZ" sz="1100" baseline="0">
              <a:solidFill>
                <a:schemeClr val="bg1"/>
              </a:solidFill>
              <a:latin typeface="+mn-lt"/>
              <a:ea typeface="+mn-ea"/>
              <a:cs typeface="+mn-cs"/>
            </a:rPr>
            <a:t> and also per foot print of storage. This enabe a benchmark</a:t>
          </a:r>
          <a:endParaRPr lang="en-NZ" sz="1100">
            <a:solidFill>
              <a:schemeClr val="bg1"/>
            </a:solidFill>
            <a:latin typeface="+mn-lt"/>
            <a:ea typeface="+mn-ea"/>
            <a:cs typeface="+mn-cs"/>
          </a:endParaRPr>
        </a:p>
      </xdr:txBody>
    </xdr:sp>
    <xdr:clientData/>
  </xdr:twoCellAnchor>
  <xdr:twoCellAnchor>
    <xdr:from>
      <xdr:col>32</xdr:col>
      <xdr:colOff>222252</xdr:colOff>
      <xdr:row>33</xdr:row>
      <xdr:rowOff>137583</xdr:rowOff>
    </xdr:from>
    <xdr:to>
      <xdr:col>35</xdr:col>
      <xdr:colOff>254002</xdr:colOff>
      <xdr:row>43</xdr:row>
      <xdr:rowOff>129116</xdr:rowOff>
    </xdr:to>
    <xdr:sp macro="" textlink="">
      <xdr:nvSpPr>
        <xdr:cNvPr id="18" name="Callout: Up Arrow 17">
          <a:extLst>
            <a:ext uri="{FF2B5EF4-FFF2-40B4-BE49-F238E27FC236}">
              <a16:creationId xmlns:a16="http://schemas.microsoft.com/office/drawing/2014/main" id="{46996B35-0A16-4611-AA63-6E7CAAEF0199}"/>
            </a:ext>
          </a:extLst>
        </xdr:cNvPr>
        <xdr:cNvSpPr/>
      </xdr:nvSpPr>
      <xdr:spPr>
        <a:xfrm>
          <a:off x="19864919" y="607483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calutate the monthly average.</a:t>
          </a:r>
          <a:r>
            <a:rPr lang="en-NZ" sz="1100" baseline="0">
              <a:solidFill>
                <a:schemeClr val="bg1"/>
              </a:solidFill>
            </a:rPr>
            <a:t> This will demonstatre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423334</xdr:colOff>
      <xdr:row>8</xdr:row>
      <xdr:rowOff>13758</xdr:rowOff>
    </xdr:from>
    <xdr:to>
      <xdr:col>35</xdr:col>
      <xdr:colOff>190500</xdr:colOff>
      <xdr:row>17</xdr:row>
      <xdr:rowOff>107949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19452167" y="1453091"/>
          <a:ext cx="2222500"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calucates the emission for scope 1 and 3</a:t>
          </a:r>
          <a:r>
            <a:rPr lang="en-NZ" sz="1100" baseline="0">
              <a:solidFill>
                <a:schemeClr val="bg1"/>
              </a:solidFill>
              <a:latin typeface="+mn-lt"/>
              <a:ea typeface="+mn-ea"/>
              <a:cs typeface="+mn-cs"/>
            </a:rPr>
            <a:t> in kg CO2-e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and also per foot print of storage. This enabe a benchmark</a:t>
          </a:r>
          <a:endParaRPr lang="en-NZ" sz="1100">
            <a:solidFill>
              <a:schemeClr val="bg1"/>
            </a:solidFill>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62BF46-01B6-4137-974D-4427FDF75C5F}" name="Table1" displayName="Table1" ref="C10:E12" totalsRowShown="0" headerRowDxfId="3" headerRowBorderDxfId="2" tableBorderDxfId="1" totalsRowBorderDxfId="0">
  <tableColumns count="3">
    <tableColumn id="1" xr3:uid="{C69E5E16-340C-474C-B4B6-DFD03180B3E5}" name="Enter site details"/>
    <tableColumn id="2" xr3:uid="{931CA727-24B8-43C5-8EC9-494F8FDEA0BC}" name="Column1"/>
    <tableColumn id="3" xr3:uid="{E478210D-94FD-437A-A010-A6A9D3C52C4C}" name="Column2"/>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EECA Colours">
      <a:dk1>
        <a:sysClr val="windowText" lastClr="000000"/>
      </a:dk1>
      <a:lt1>
        <a:sysClr val="window" lastClr="FFFFFF"/>
      </a:lt1>
      <a:dk2>
        <a:srgbClr val="44546A"/>
      </a:dk2>
      <a:lt2>
        <a:srgbClr val="E7E6E6"/>
      </a:lt2>
      <a:accent1>
        <a:srgbClr val="317575"/>
      </a:accent1>
      <a:accent2>
        <a:srgbClr val="3A8C8A"/>
      </a:accent2>
      <a:accent3>
        <a:srgbClr val="47ABA9"/>
      </a:accent3>
      <a:accent4>
        <a:srgbClr val="6CC2C0"/>
      </a:accent4>
      <a:accent5>
        <a:srgbClr val="9ED6D5"/>
      </a:accent5>
      <a:accent6>
        <a:srgbClr val="B8E2E1"/>
      </a:accent6>
      <a:hlink>
        <a:srgbClr val="0070C0"/>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cliflo.niwa.co.nz/" TargetMode="External"/><Relationship Id="rId7" Type="http://schemas.openxmlformats.org/officeDocument/2006/relationships/printerSettings" Target="../printerSettings/printerSettings3.bin"/><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environment.govt.nz/guides/measuring-and-reporting-greenhouse-gas-emissions-guide-for-organisations/" TargetMode="External"/><Relationship Id="rId5" Type="http://schemas.openxmlformats.org/officeDocument/2006/relationships/hyperlink" Target="https://environment.govt.nz/guides/measuring-and-reporting-greenhouse-gas-emissions-guide-for-organisations/" TargetMode="External"/><Relationship Id="rId4" Type="http://schemas.openxmlformats.org/officeDocument/2006/relationships/hyperlink" Target="https://ir.canterbury.ac.nz/handle/10092/1152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C516-049B-48BD-B5C5-4D40E3A7149A}">
  <dimension ref="A1:AC27"/>
  <sheetViews>
    <sheetView tabSelected="1" zoomScale="80" zoomScaleNormal="80" workbookViewId="0">
      <selection activeCell="G43" sqref="G43"/>
    </sheetView>
  </sheetViews>
  <sheetFormatPr defaultRowHeight="15" x14ac:dyDescent="0.25"/>
  <cols>
    <col min="2" max="2" width="31" customWidth="1"/>
    <col min="5" max="5" width="33.5703125" customWidth="1"/>
    <col min="16" max="16" width="25.85546875" customWidth="1"/>
    <col min="17" max="17" width="54.85546875" customWidth="1"/>
  </cols>
  <sheetData>
    <row r="1" spans="1:29" ht="120.6" customHeight="1" x14ac:dyDescent="0.25">
      <c r="A1" s="100" t="s">
        <v>0</v>
      </c>
      <c r="B1" s="154" t="s">
        <v>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1:29" ht="48" customHeight="1" x14ac:dyDescent="0.25">
      <c r="A2" s="131"/>
      <c r="B2" s="156" t="s">
        <v>2</v>
      </c>
      <c r="C2" s="156"/>
      <c r="D2" s="156"/>
      <c r="E2" s="156"/>
      <c r="F2" s="126"/>
      <c r="G2" s="126"/>
      <c r="H2" s="126"/>
      <c r="I2" s="126"/>
      <c r="J2" s="126"/>
      <c r="K2" s="126"/>
      <c r="L2" s="126"/>
      <c r="M2" s="126"/>
      <c r="N2" s="126"/>
      <c r="O2" s="126"/>
      <c r="P2" s="126"/>
      <c r="Q2" s="126"/>
      <c r="R2" s="127"/>
    </row>
    <row r="3" spans="1:29" x14ac:dyDescent="0.25">
      <c r="A3" s="131"/>
      <c r="B3" s="152" t="s">
        <v>3</v>
      </c>
      <c r="C3" s="152"/>
      <c r="D3" s="152"/>
      <c r="E3" s="152"/>
      <c r="F3" s="152"/>
      <c r="G3" s="152"/>
      <c r="H3" s="152"/>
      <c r="I3" s="152"/>
      <c r="J3" s="152"/>
      <c r="K3" s="152"/>
      <c r="L3" s="152"/>
      <c r="M3" s="152"/>
      <c r="N3" s="152"/>
      <c r="O3" s="152"/>
      <c r="P3" s="152"/>
      <c r="Q3" s="152"/>
      <c r="R3" s="128"/>
    </row>
    <row r="4" spans="1:29" ht="71.45" customHeight="1" x14ac:dyDescent="0.25">
      <c r="A4" s="131"/>
      <c r="B4" s="152"/>
      <c r="C4" s="152"/>
      <c r="D4" s="152"/>
      <c r="E4" s="152"/>
      <c r="F4" s="152"/>
      <c r="G4" s="152"/>
      <c r="H4" s="152"/>
      <c r="I4" s="152"/>
      <c r="J4" s="152"/>
      <c r="K4" s="152"/>
      <c r="L4" s="152"/>
      <c r="M4" s="152"/>
      <c r="N4" s="152"/>
      <c r="O4" s="152"/>
      <c r="P4" s="152"/>
      <c r="Q4" s="152"/>
      <c r="R4" s="128"/>
    </row>
    <row r="5" spans="1:29" x14ac:dyDescent="0.25">
      <c r="A5" s="131"/>
      <c r="B5" s="152"/>
      <c r="C5" s="152"/>
      <c r="D5" s="152"/>
      <c r="E5" s="152"/>
      <c r="F5" s="152"/>
      <c r="G5" s="152"/>
      <c r="H5" s="152"/>
      <c r="I5" s="152"/>
      <c r="J5" s="152"/>
      <c r="K5" s="152"/>
      <c r="L5" s="152"/>
      <c r="M5" s="152"/>
      <c r="N5" s="152"/>
      <c r="O5" s="152"/>
      <c r="P5" s="152"/>
      <c r="Q5" s="152"/>
      <c r="R5" s="128"/>
    </row>
    <row r="6" spans="1:29" x14ac:dyDescent="0.25">
      <c r="A6" s="131"/>
      <c r="B6" s="129"/>
      <c r="C6" s="129"/>
      <c r="D6" s="129"/>
      <c r="E6" s="129"/>
      <c r="F6" s="129"/>
      <c r="G6" s="129"/>
      <c r="H6" s="129"/>
      <c r="I6" s="129"/>
      <c r="J6" s="129"/>
      <c r="K6" s="129"/>
      <c r="L6" s="129"/>
      <c r="M6" s="129"/>
      <c r="N6" s="129"/>
      <c r="O6" s="129"/>
      <c r="P6" s="129"/>
      <c r="Q6" s="129"/>
      <c r="R6" s="128"/>
    </row>
    <row r="7" spans="1:29" ht="30" x14ac:dyDescent="0.4">
      <c r="A7" s="131"/>
      <c r="B7" s="130" t="s">
        <v>4</v>
      </c>
      <c r="C7" s="131"/>
      <c r="D7" s="131"/>
      <c r="E7" s="131"/>
      <c r="F7" s="131"/>
      <c r="G7" s="131"/>
      <c r="H7" s="131"/>
      <c r="I7" s="131"/>
      <c r="J7" s="131"/>
      <c r="K7" s="131"/>
      <c r="L7" s="131"/>
      <c r="M7" s="131"/>
      <c r="N7" s="131"/>
      <c r="O7" s="153"/>
      <c r="P7" s="153"/>
      <c r="Q7" s="153"/>
      <c r="R7" s="128"/>
    </row>
    <row r="8" spans="1:29" x14ac:dyDescent="0.25">
      <c r="A8" s="131"/>
      <c r="B8" s="132" t="s">
        <v>5</v>
      </c>
      <c r="C8" s="133"/>
      <c r="D8" s="134"/>
      <c r="E8" s="134"/>
      <c r="F8" s="134"/>
      <c r="G8" s="134"/>
      <c r="H8" s="134"/>
      <c r="I8" s="134"/>
      <c r="J8" s="134"/>
      <c r="K8" s="134"/>
      <c r="L8" s="134"/>
      <c r="M8" s="134"/>
      <c r="N8" s="134"/>
      <c r="O8" s="134"/>
      <c r="P8" s="134"/>
      <c r="Q8" s="134"/>
      <c r="R8" s="128"/>
    </row>
    <row r="9" spans="1:29" x14ac:dyDescent="0.25">
      <c r="A9" s="131"/>
      <c r="B9" s="135"/>
      <c r="C9" s="136"/>
      <c r="D9" s="134"/>
      <c r="E9" s="134"/>
      <c r="F9" s="134"/>
      <c r="G9" s="134"/>
      <c r="H9" s="134"/>
      <c r="I9" s="134"/>
      <c r="J9" s="134"/>
      <c r="K9" s="134"/>
      <c r="L9" s="134"/>
      <c r="M9" s="134"/>
      <c r="N9" s="134"/>
      <c r="O9" s="134"/>
      <c r="P9" s="134"/>
      <c r="Q9" s="134"/>
      <c r="R9" s="128"/>
    </row>
    <row r="10" spans="1:29" x14ac:dyDescent="0.25">
      <c r="A10" s="131"/>
      <c r="B10" s="132">
        <v>1</v>
      </c>
      <c r="C10" s="137" t="s">
        <v>6</v>
      </c>
      <c r="D10" s="137"/>
      <c r="E10" s="137"/>
      <c r="F10" s="138"/>
      <c r="G10" s="138"/>
      <c r="H10" s="138"/>
      <c r="I10" s="138"/>
      <c r="J10" s="138"/>
      <c r="K10" s="138"/>
      <c r="L10" s="138"/>
      <c r="M10" s="138"/>
      <c r="N10" s="138"/>
      <c r="O10" s="138"/>
      <c r="P10" s="138"/>
      <c r="Q10" s="138"/>
      <c r="R10" s="139"/>
    </row>
    <row r="11" spans="1:29" x14ac:dyDescent="0.25">
      <c r="A11" s="131"/>
      <c r="B11" s="132"/>
      <c r="C11" s="137"/>
      <c r="D11" s="137"/>
      <c r="E11" s="137"/>
      <c r="F11" s="138"/>
      <c r="G11" s="138"/>
      <c r="H11" s="138"/>
      <c r="I11" s="138"/>
      <c r="J11" s="138"/>
      <c r="K11" s="138"/>
      <c r="L11" s="138"/>
      <c r="M11" s="138"/>
      <c r="N11" s="138"/>
      <c r="O11" s="138"/>
      <c r="P11" s="138"/>
      <c r="Q11" s="138"/>
      <c r="R11" s="139"/>
    </row>
    <row r="12" spans="1:29" x14ac:dyDescent="0.25">
      <c r="A12" s="131"/>
      <c r="B12" s="132">
        <v>2</v>
      </c>
      <c r="C12" s="137" t="s">
        <v>7</v>
      </c>
      <c r="D12" s="137"/>
      <c r="E12" s="137"/>
      <c r="F12" s="138"/>
      <c r="G12" s="138"/>
      <c r="H12" s="138"/>
      <c r="I12" s="138"/>
      <c r="J12" s="138"/>
      <c r="K12" s="138"/>
      <c r="L12" s="138"/>
      <c r="M12" s="138"/>
      <c r="N12" s="138"/>
      <c r="O12" s="138"/>
      <c r="P12" s="138"/>
      <c r="Q12" s="138"/>
      <c r="R12" s="139"/>
    </row>
    <row r="13" spans="1:29" x14ac:dyDescent="0.25">
      <c r="A13" s="131"/>
      <c r="B13" s="132"/>
      <c r="C13" s="140" t="s">
        <v>8</v>
      </c>
      <c r="D13" s="137"/>
      <c r="E13" s="137"/>
      <c r="F13" s="138"/>
      <c r="G13" s="138"/>
      <c r="H13" s="138"/>
      <c r="I13" s="138"/>
      <c r="J13" s="138"/>
      <c r="K13" s="138"/>
      <c r="L13" s="138"/>
      <c r="M13" s="138"/>
      <c r="N13" s="138"/>
      <c r="O13" s="138"/>
      <c r="P13" s="138"/>
      <c r="Q13" s="138"/>
      <c r="R13" s="139"/>
    </row>
    <row r="14" spans="1:29" x14ac:dyDescent="0.25">
      <c r="A14" s="131"/>
      <c r="B14" s="132"/>
      <c r="C14" s="141"/>
      <c r="D14" s="137"/>
      <c r="E14" s="137"/>
      <c r="F14" s="138"/>
      <c r="G14" s="138"/>
      <c r="H14" s="138"/>
      <c r="I14" s="138"/>
      <c r="J14" s="138"/>
      <c r="K14" s="138"/>
      <c r="L14" s="138"/>
      <c r="M14" s="138"/>
      <c r="N14" s="138"/>
      <c r="O14" s="138"/>
      <c r="P14" s="138"/>
      <c r="Q14" s="138"/>
      <c r="R14" s="139"/>
    </row>
    <row r="15" spans="1:29" x14ac:dyDescent="0.25">
      <c r="A15" s="131"/>
      <c r="B15" s="132">
        <v>3</v>
      </c>
      <c r="C15" s="137" t="s">
        <v>9</v>
      </c>
      <c r="D15" s="137"/>
      <c r="E15" s="137"/>
      <c r="F15" s="138"/>
      <c r="G15" s="138"/>
      <c r="H15" s="138"/>
      <c r="I15" s="138"/>
      <c r="J15" s="138"/>
      <c r="K15" s="138"/>
      <c r="L15" s="138"/>
      <c r="M15" s="138"/>
      <c r="N15" s="138"/>
      <c r="O15" s="138"/>
      <c r="P15" s="138"/>
      <c r="Q15" s="138"/>
      <c r="R15" s="139"/>
    </row>
    <row r="16" spans="1:29" x14ac:dyDescent="0.25">
      <c r="A16" s="131"/>
      <c r="B16" s="132"/>
      <c r="C16" s="137" t="s">
        <v>10</v>
      </c>
      <c r="D16" s="137"/>
      <c r="E16" s="137"/>
      <c r="F16" s="138"/>
      <c r="G16" s="138"/>
      <c r="H16" s="138"/>
      <c r="I16" s="138"/>
      <c r="J16" s="138"/>
      <c r="K16" s="138"/>
      <c r="L16" s="138"/>
      <c r="M16" s="138"/>
      <c r="N16" s="138"/>
      <c r="O16" s="138"/>
      <c r="P16" s="138"/>
      <c r="Q16" s="138"/>
      <c r="R16" s="139"/>
    </row>
    <row r="17" spans="1:18" x14ac:dyDescent="0.25">
      <c r="A17" s="131"/>
      <c r="B17" s="132"/>
      <c r="C17" s="137" t="s">
        <v>11</v>
      </c>
      <c r="D17" s="137"/>
      <c r="E17" s="137"/>
      <c r="F17" s="138"/>
      <c r="G17" s="138"/>
      <c r="H17" s="138"/>
      <c r="I17" s="138"/>
      <c r="J17" s="138"/>
      <c r="K17" s="138"/>
      <c r="L17" s="138"/>
      <c r="M17" s="138"/>
      <c r="N17" s="138"/>
      <c r="O17" s="138"/>
      <c r="P17" s="138"/>
      <c r="Q17" s="138"/>
      <c r="R17" s="139"/>
    </row>
    <row r="18" spans="1:18" x14ac:dyDescent="0.25">
      <c r="A18" s="131"/>
      <c r="B18" s="132"/>
      <c r="C18" s="137"/>
      <c r="D18" s="137"/>
      <c r="E18" s="137"/>
      <c r="F18" s="138"/>
      <c r="G18" s="138"/>
      <c r="H18" s="138"/>
      <c r="I18" s="138"/>
      <c r="J18" s="138"/>
      <c r="K18" s="138"/>
      <c r="L18" s="138"/>
      <c r="M18" s="138"/>
      <c r="N18" s="138"/>
      <c r="O18" s="138"/>
      <c r="P18" s="138"/>
      <c r="Q18" s="138"/>
      <c r="R18" s="139"/>
    </row>
    <row r="19" spans="1:18" x14ac:dyDescent="0.25">
      <c r="A19" s="131"/>
      <c r="B19" s="132">
        <v>4</v>
      </c>
      <c r="C19" s="137" t="s">
        <v>12</v>
      </c>
      <c r="D19" s="137"/>
      <c r="E19" s="137"/>
      <c r="F19" s="138"/>
      <c r="G19" s="138"/>
      <c r="H19" s="138"/>
      <c r="I19" s="138"/>
      <c r="J19" s="138"/>
      <c r="K19" s="138"/>
      <c r="L19" s="138"/>
      <c r="M19" s="138"/>
      <c r="N19" s="138"/>
      <c r="O19" s="138"/>
      <c r="P19" s="138"/>
      <c r="Q19" s="134"/>
      <c r="R19" s="139"/>
    </row>
    <row r="20" spans="1:18" x14ac:dyDescent="0.25">
      <c r="A20" s="131"/>
      <c r="B20" s="135"/>
      <c r="C20" s="137" t="s">
        <v>13</v>
      </c>
      <c r="D20" s="137"/>
      <c r="E20" s="137"/>
      <c r="F20" s="138"/>
      <c r="G20" s="138"/>
      <c r="H20" s="138"/>
      <c r="I20" s="138"/>
      <c r="J20" s="138"/>
      <c r="K20" s="138"/>
      <c r="L20" s="138"/>
      <c r="M20" s="138"/>
      <c r="N20" s="138"/>
      <c r="O20" s="138"/>
      <c r="P20" s="133" t="s">
        <v>14</v>
      </c>
      <c r="Q20" s="133"/>
      <c r="R20" s="139"/>
    </row>
    <row r="21" spans="1:18" x14ac:dyDescent="0.25">
      <c r="A21" s="131"/>
      <c r="B21" s="135"/>
      <c r="C21" s="137"/>
      <c r="D21" s="137"/>
      <c r="E21" s="137"/>
      <c r="F21" s="138"/>
      <c r="G21" s="138"/>
      <c r="H21" s="138"/>
      <c r="I21" s="138"/>
      <c r="J21" s="138"/>
      <c r="K21" s="138"/>
      <c r="L21" s="138"/>
      <c r="M21" s="138"/>
      <c r="N21" s="138"/>
      <c r="O21" s="138"/>
      <c r="P21" s="142" t="s">
        <v>15</v>
      </c>
      <c r="Q21" s="143"/>
      <c r="R21" s="139"/>
    </row>
    <row r="22" spans="1:18" x14ac:dyDescent="0.25">
      <c r="A22" s="131"/>
      <c r="B22" s="135"/>
      <c r="C22" s="144" t="s">
        <v>16</v>
      </c>
      <c r="D22" s="137"/>
      <c r="E22" s="137"/>
      <c r="F22" s="138"/>
      <c r="G22" s="138"/>
      <c r="H22" s="138"/>
      <c r="I22" s="138"/>
      <c r="J22" s="138"/>
      <c r="K22" s="138"/>
      <c r="L22" s="138"/>
      <c r="M22" s="138"/>
      <c r="N22" s="138"/>
      <c r="O22" s="138"/>
      <c r="P22" s="145" t="s">
        <v>17</v>
      </c>
      <c r="Q22" s="143"/>
      <c r="R22" s="139"/>
    </row>
    <row r="23" spans="1:18" x14ac:dyDescent="0.25">
      <c r="A23" s="131"/>
      <c r="B23" s="135"/>
      <c r="C23" s="137" t="s">
        <v>18</v>
      </c>
      <c r="D23" s="137"/>
      <c r="E23" s="137"/>
      <c r="F23" s="138"/>
      <c r="G23" s="138"/>
      <c r="H23" s="138"/>
      <c r="I23" s="138"/>
      <c r="J23" s="138"/>
      <c r="K23" s="138"/>
      <c r="L23" s="138"/>
      <c r="M23" s="138"/>
      <c r="N23" s="138"/>
      <c r="O23" s="138"/>
      <c r="P23" s="146" t="s">
        <v>19</v>
      </c>
      <c r="Q23" s="143"/>
      <c r="R23" s="139"/>
    </row>
    <row r="24" spans="1:18" x14ac:dyDescent="0.25">
      <c r="A24" s="131"/>
      <c r="B24" s="135"/>
      <c r="C24" s="144" t="s">
        <v>20</v>
      </c>
      <c r="D24" s="137"/>
      <c r="E24" s="137"/>
      <c r="F24" s="138"/>
      <c r="G24" s="138"/>
      <c r="H24" s="138"/>
      <c r="I24" s="138"/>
      <c r="J24" s="138"/>
      <c r="K24" s="138"/>
      <c r="L24" s="138"/>
      <c r="M24" s="138"/>
      <c r="N24" s="138"/>
      <c r="O24" s="138"/>
      <c r="P24" s="147" t="s">
        <v>21</v>
      </c>
      <c r="Q24" s="143"/>
      <c r="R24" s="139"/>
    </row>
    <row r="25" spans="1:18" x14ac:dyDescent="0.25">
      <c r="A25" s="131"/>
      <c r="B25" s="135"/>
      <c r="C25" s="144"/>
      <c r="D25" s="137"/>
      <c r="E25" s="137"/>
      <c r="F25" s="138"/>
      <c r="G25" s="138"/>
      <c r="H25" s="138"/>
      <c r="I25" s="138"/>
      <c r="J25" s="138"/>
      <c r="K25" s="138"/>
      <c r="L25" s="138"/>
      <c r="M25" s="138"/>
      <c r="N25" s="138"/>
      <c r="O25" s="138"/>
      <c r="P25" s="143"/>
      <c r="Q25" s="143"/>
      <c r="R25" s="139"/>
    </row>
    <row r="26" spans="1:18" x14ac:dyDescent="0.25">
      <c r="A26" s="131"/>
      <c r="B26" s="148"/>
      <c r="C26" s="148"/>
      <c r="D26" s="148"/>
      <c r="E26" s="148"/>
      <c r="F26" s="148"/>
      <c r="G26" s="148"/>
      <c r="H26" s="148"/>
      <c r="I26" s="148"/>
      <c r="J26" s="148"/>
      <c r="K26" s="148"/>
      <c r="L26" s="148"/>
      <c r="M26" s="148"/>
      <c r="N26" s="148"/>
      <c r="O26" s="148"/>
      <c r="P26" s="148"/>
      <c r="Q26" s="148"/>
      <c r="R26" s="149"/>
    </row>
    <row r="27" spans="1:18" x14ac:dyDescent="0.25">
      <c r="A27" s="150"/>
      <c r="B27" s="150"/>
      <c r="C27" s="150"/>
      <c r="D27" s="150"/>
      <c r="E27" s="150"/>
      <c r="F27" s="150"/>
      <c r="G27" s="150"/>
      <c r="H27" s="150"/>
      <c r="I27" s="150"/>
      <c r="J27" s="150"/>
      <c r="K27" s="150"/>
      <c r="L27" s="150"/>
      <c r="M27" s="150"/>
      <c r="N27" s="150"/>
      <c r="O27" s="150"/>
      <c r="P27" s="150"/>
      <c r="Q27" s="150"/>
      <c r="R27" s="151"/>
    </row>
  </sheetData>
  <mergeCells count="4">
    <mergeCell ref="B3:Q5"/>
    <mergeCell ref="O7:Q7"/>
    <mergeCell ref="B1:AC1"/>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9"/>
  <sheetViews>
    <sheetView showGridLines="0" topLeftCell="A23" zoomScaleNormal="100" workbookViewId="0"/>
  </sheetViews>
  <sheetFormatPr defaultColWidth="0" defaultRowHeight="15.75" zeroHeight="1" x14ac:dyDescent="0.3"/>
  <cols>
    <col min="1" max="1" width="9.140625" style="1" customWidth="1"/>
    <col min="2" max="2" width="11.42578125" style="1" bestFit="1" customWidth="1"/>
    <col min="3" max="5" width="21.42578125" style="1" customWidth="1"/>
    <col min="6" max="6" width="18.85546875" style="1" customWidth="1"/>
    <col min="7" max="7" width="20" style="1" customWidth="1"/>
    <col min="8" max="8" width="18.85546875" style="1" customWidth="1"/>
    <col min="9" max="14" width="17.140625" style="1" customWidth="1"/>
    <col min="15" max="15" width="15.85546875" style="1" bestFit="1" customWidth="1"/>
    <col min="16" max="16" width="7.140625" style="1" hidden="1" customWidth="1"/>
    <col min="17" max="17" width="12" style="1" hidden="1" customWidth="1"/>
    <col min="18" max="18" width="11.5703125" style="58" hidden="1" customWidth="1"/>
    <col min="19" max="20" width="7.140625" style="1" hidden="1" customWidth="1"/>
    <col min="21" max="23" width="11.42578125" style="1" hidden="1" customWidth="1"/>
    <col min="24" max="24" width="7.140625" style="1" hidden="1" customWidth="1"/>
    <col min="25" max="25" width="11.5703125" style="1" hidden="1" customWidth="1"/>
    <col min="26" max="26" width="9.140625" hidden="1" customWidth="1"/>
    <col min="27" max="27" width="9.140625" style="1" hidden="1" customWidth="1"/>
    <col min="28" max="28" width="11.42578125" style="1" hidden="1" customWidth="1"/>
    <col min="29" max="29" width="10.85546875" style="1" hidden="1" customWidth="1"/>
    <col min="30" max="32" width="9.140625" style="1" hidden="1" customWidth="1"/>
    <col min="33" max="33" width="9.5703125" style="1" hidden="1" customWidth="1"/>
    <col min="34" max="39" width="9.140625" style="1" hidden="1" customWidth="1"/>
    <col min="40" max="40" width="10" style="1" hidden="1" customWidth="1"/>
    <col min="41" max="41" width="9.140625" style="1" hidden="1" customWidth="1"/>
    <col min="42" max="42" width="8.140625" style="1" hidden="1" customWidth="1"/>
    <col min="43" max="43" width="6.85546875" style="1" hidden="1" customWidth="1"/>
    <col min="44" max="44" width="7.85546875" style="1" hidden="1" customWidth="1"/>
    <col min="45" max="45" width="8.42578125" style="1" hidden="1" customWidth="1"/>
    <col min="46" max="46" width="10.140625" style="1" hidden="1" customWidth="1"/>
    <col min="47" max="47" width="10.85546875" style="1" hidden="1" customWidth="1"/>
    <col min="48" max="48" width="12.42578125" style="1" hidden="1" customWidth="1"/>
    <col min="49" max="50" width="10.85546875" style="1" hidden="1" customWidth="1"/>
    <col min="51" max="51" width="8.5703125" style="1" hidden="1" customWidth="1"/>
    <col min="52" max="52" width="12.140625" style="1" hidden="1" customWidth="1"/>
    <col min="53" max="53" width="10.42578125" style="1" hidden="1" customWidth="1"/>
    <col min="54" max="16384" width="9.140625" style="1" hidden="1"/>
  </cols>
  <sheetData>
    <row r="1" spans="1:31" customFormat="1" ht="122.1" customHeight="1" x14ac:dyDescent="0.25">
      <c r="A1" s="100" t="s">
        <v>0</v>
      </c>
      <c r="B1" s="154" t="str">
        <f>"Energy Calculations for: "&amp;'Energy Calculator'!$C$12</f>
        <v xml:space="preserve">Energy Calculations for: </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01"/>
      <c r="AE1" s="101"/>
    </row>
    <row r="2" spans="1:31" x14ac:dyDescent="0.3">
      <c r="Z2" s="1"/>
    </row>
    <row r="3" spans="1:31" x14ac:dyDescent="0.3">
      <c r="Z3" s="1"/>
    </row>
    <row r="4" spans="1:31" ht="18.75" customHeight="1" x14ac:dyDescent="0.3">
      <c r="C4" s="102" t="s">
        <v>22</v>
      </c>
      <c r="D4" s="68"/>
      <c r="G4" s="163" t="s">
        <v>23</v>
      </c>
      <c r="H4" s="164"/>
      <c r="I4" s="164"/>
      <c r="J4" s="164"/>
      <c r="K4" s="164"/>
      <c r="L4" s="164"/>
      <c r="M4" s="164"/>
      <c r="N4" s="164"/>
      <c r="O4" s="70"/>
      <c r="P4" s="70"/>
      <c r="Z4" s="1"/>
    </row>
    <row r="5" spans="1:31" ht="18.75" customHeight="1" x14ac:dyDescent="0.3">
      <c r="C5" s="105" t="s">
        <v>24</v>
      </c>
      <c r="D5" s="68"/>
      <c r="G5" s="163"/>
      <c r="H5" s="164"/>
      <c r="I5" s="164"/>
      <c r="J5" s="164"/>
      <c r="K5" s="164"/>
      <c r="L5" s="164"/>
      <c r="M5" s="164"/>
      <c r="N5" s="164"/>
      <c r="O5" s="70"/>
      <c r="P5" s="70"/>
      <c r="Z5" s="1"/>
    </row>
    <row r="6" spans="1:31" ht="18.75" customHeight="1" x14ac:dyDescent="0.3">
      <c r="C6" s="103" t="s">
        <v>25</v>
      </c>
      <c r="D6" s="69"/>
      <c r="G6" s="164"/>
      <c r="H6" s="164"/>
      <c r="I6" s="164"/>
      <c r="J6" s="164"/>
      <c r="K6" s="164"/>
      <c r="L6" s="164"/>
      <c r="M6" s="164"/>
      <c r="N6" s="164"/>
      <c r="O6" s="70"/>
      <c r="P6" s="70"/>
      <c r="Z6" s="1"/>
    </row>
    <row r="7" spans="1:31" ht="18.75" customHeight="1" x14ac:dyDescent="0.3">
      <c r="C7" s="104" t="s">
        <v>26</v>
      </c>
      <c r="D7" s="69"/>
      <c r="G7" s="164"/>
      <c r="H7" s="164"/>
      <c r="I7" s="164"/>
      <c r="J7" s="164"/>
      <c r="K7" s="164"/>
      <c r="L7" s="164"/>
      <c r="M7" s="164"/>
      <c r="N7" s="164"/>
      <c r="O7" s="70"/>
      <c r="P7" s="70"/>
      <c r="Z7" s="1"/>
    </row>
    <row r="8" spans="1:31" x14ac:dyDescent="0.3">
      <c r="G8" s="70"/>
      <c r="H8" s="70"/>
      <c r="I8" s="70"/>
      <c r="J8" s="70"/>
      <c r="K8" s="70"/>
      <c r="L8" s="70"/>
      <c r="M8" s="70"/>
      <c r="N8" s="70"/>
      <c r="Z8" s="1"/>
    </row>
    <row r="9" spans="1:31" x14ac:dyDescent="0.3">
      <c r="C9"/>
      <c r="D9"/>
      <c r="E9"/>
      <c r="G9" s="70"/>
      <c r="H9" s="70"/>
      <c r="I9" s="70"/>
      <c r="J9" s="70"/>
      <c r="K9" s="70"/>
      <c r="L9" s="70"/>
      <c r="Z9" s="1"/>
    </row>
    <row r="10" spans="1:31" ht="22.5" customHeight="1" x14ac:dyDescent="0.3">
      <c r="C10" s="106" t="s">
        <v>27</v>
      </c>
      <c r="D10" s="107" t="s">
        <v>28</v>
      </c>
      <c r="E10" s="108" t="s">
        <v>29</v>
      </c>
      <c r="F10" s="59"/>
      <c r="G10" s="159" t="s">
        <v>30</v>
      </c>
      <c r="H10" s="160"/>
      <c r="I10" s="160"/>
      <c r="J10" s="161"/>
    </row>
    <row r="11" spans="1:31" ht="18.75" customHeight="1" x14ac:dyDescent="0.3">
      <c r="C11" s="109" t="s">
        <v>31</v>
      </c>
      <c r="D11" s="110" t="s">
        <v>32</v>
      </c>
      <c r="E11" s="111" t="s">
        <v>33</v>
      </c>
      <c r="G11" s="165" t="s">
        <v>34</v>
      </c>
      <c r="H11" s="166"/>
      <c r="I11" s="85" t="s">
        <v>35</v>
      </c>
      <c r="J11" s="86" t="s">
        <v>36</v>
      </c>
    </row>
    <row r="12" spans="1:31" ht="33.75" customHeight="1" x14ac:dyDescent="0.3">
      <c r="B12" s="73"/>
      <c r="C12" s="122"/>
      <c r="D12" s="123"/>
      <c r="E12" s="121" t="s">
        <v>37</v>
      </c>
      <c r="G12" s="167"/>
      <c r="H12" s="168"/>
      <c r="I12" s="124"/>
      <c r="J12" s="113">
        <f>SUM(I12)</f>
        <v>0</v>
      </c>
    </row>
    <row r="13" spans="1:31" x14ac:dyDescent="0.3">
      <c r="B13" s="60"/>
    </row>
    <row r="14" spans="1:31" x14ac:dyDescent="0.3">
      <c r="B14" s="60"/>
    </row>
    <row r="15" spans="1:31" ht="22.5" customHeight="1" x14ac:dyDescent="0.3">
      <c r="B15" s="60"/>
      <c r="C15" s="162" t="s">
        <v>38</v>
      </c>
      <c r="D15" s="162"/>
      <c r="E15" s="162"/>
    </row>
    <row r="16" spans="1:31" ht="15.75" customHeight="1" x14ac:dyDescent="0.3">
      <c r="B16" s="60"/>
      <c r="C16" s="1" t="s">
        <v>39</v>
      </c>
      <c r="D16" s="83"/>
      <c r="E16" s="74"/>
    </row>
    <row r="17" spans="2:26" x14ac:dyDescent="0.3">
      <c r="L17" s="58"/>
    </row>
    <row r="18" spans="2:26" ht="48" x14ac:dyDescent="0.3">
      <c r="C18" s="159" t="s">
        <v>40</v>
      </c>
      <c r="D18" s="160"/>
      <c r="E18" s="160"/>
      <c r="F18" s="160"/>
      <c r="G18" s="160"/>
      <c r="H18" s="161"/>
      <c r="I18" s="92"/>
      <c r="K18" s="87" t="s">
        <v>41</v>
      </c>
    </row>
    <row r="19" spans="2:26" ht="18.75" customHeight="1" x14ac:dyDescent="0.3">
      <c r="C19" s="169" t="s">
        <v>42</v>
      </c>
      <c r="D19" s="169" t="s">
        <v>43</v>
      </c>
      <c r="E19" s="82" t="s">
        <v>44</v>
      </c>
      <c r="F19" s="82" t="s">
        <v>45</v>
      </c>
      <c r="G19" s="1" t="s">
        <v>46</v>
      </c>
      <c r="H19" s="76" t="s">
        <v>47</v>
      </c>
      <c r="K19" s="93" t="s">
        <v>48</v>
      </c>
      <c r="Q19" s="58"/>
      <c r="R19" s="1"/>
      <c r="Y19"/>
      <c r="Z19" s="1"/>
    </row>
    <row r="20" spans="2:26" ht="18.75" customHeight="1" x14ac:dyDescent="0.3">
      <c r="C20" s="169"/>
      <c r="D20" s="169"/>
      <c r="E20" s="82"/>
      <c r="F20" s="82"/>
      <c r="G20" s="76"/>
      <c r="H20" s="76"/>
      <c r="K20" s="78"/>
      <c r="Q20" s="58"/>
      <c r="R20" s="1"/>
      <c r="Y20"/>
      <c r="Z20" s="1"/>
    </row>
    <row r="21" spans="2:26" ht="18.75" customHeight="1" x14ac:dyDescent="0.3">
      <c r="C21" s="75"/>
      <c r="D21" s="75"/>
      <c r="E21" s="75"/>
      <c r="F21" s="75"/>
      <c r="G21" s="77"/>
      <c r="H21" s="77"/>
      <c r="K21" s="79"/>
      <c r="Q21" s="58"/>
      <c r="R21" s="1"/>
      <c r="Y21"/>
      <c r="Z21" s="1"/>
    </row>
    <row r="22" spans="2:26" ht="18.75" customHeight="1" x14ac:dyDescent="0.3">
      <c r="B22" s="61">
        <f t="shared" ref="B22:B33" si="0">B41</f>
        <v>0</v>
      </c>
      <c r="C22" s="125"/>
      <c r="D22" s="125"/>
      <c r="E22" s="125"/>
      <c r="F22" s="125"/>
      <c r="G22" s="125">
        <v>0</v>
      </c>
      <c r="H22" s="112">
        <f>C22 +D22+E22*Parameters!$C$7 +F22*Parameters!$C$6+G22*Parameters!$C$8</f>
        <v>0</v>
      </c>
      <c r="J22" s="67">
        <f t="shared" ref="J22:J33" si="1">B41</f>
        <v>0</v>
      </c>
      <c r="K22" s="119">
        <f>(C22*Parameters!$C$10+E22*Parameters!$C$12*Parameters!$C$7+'Energy Calculator'!F22*Parameters!$C$6*Parameters!$C$11+'Energy Calculator'!G22*Parameters!$C$8*Parameters!$C$13)</f>
        <v>0</v>
      </c>
      <c r="P22" s="58"/>
      <c r="R22" s="1"/>
      <c r="Y22"/>
      <c r="Z22" s="1"/>
    </row>
    <row r="23" spans="2:26" ht="18.75" customHeight="1" x14ac:dyDescent="0.3">
      <c r="B23" s="61">
        <f t="shared" si="0"/>
        <v>32</v>
      </c>
      <c r="C23" s="125"/>
      <c r="D23" s="125"/>
      <c r="E23" s="125"/>
      <c r="F23" s="125"/>
      <c r="G23" s="125"/>
      <c r="H23" s="112">
        <f>C23 +D23+E23*Parameters!$C$7 +F23*Parameters!$C$6+G23*Parameters!$C$8</f>
        <v>0</v>
      </c>
      <c r="J23" s="67">
        <f t="shared" si="1"/>
        <v>32</v>
      </c>
      <c r="K23" s="119">
        <f>(C23*Parameters!$C$10+E23*Parameters!$C$12*Parameters!$C$7+'Energy Calculator'!F23*Parameters!$C$6*Parameters!$C$11+'Energy Calculator'!G23*Parameters!$C$8*Parameters!$C$13)</f>
        <v>0</v>
      </c>
      <c r="P23" s="58"/>
      <c r="R23" s="1"/>
      <c r="Y23"/>
      <c r="Z23" s="1"/>
    </row>
    <row r="24" spans="2:26" ht="18.75" customHeight="1" x14ac:dyDescent="0.3">
      <c r="B24" s="61">
        <f t="shared" si="0"/>
        <v>61</v>
      </c>
      <c r="C24" s="125"/>
      <c r="D24" s="125"/>
      <c r="E24" s="125"/>
      <c r="F24" s="125"/>
      <c r="G24" s="125"/>
      <c r="H24" s="112">
        <f>C24 +D24+E24*Parameters!$C$7 +F24*Parameters!$C$6+G24*Parameters!$C$8</f>
        <v>0</v>
      </c>
      <c r="J24" s="67">
        <f t="shared" si="1"/>
        <v>61</v>
      </c>
      <c r="K24" s="119">
        <f>(C24*Parameters!$C$10+E24*Parameters!$C$12*Parameters!$C$7+'Energy Calculator'!F24*Parameters!$C$6*Parameters!$C$11+'Energy Calculator'!G24*Parameters!$C$8*Parameters!$C$13)</f>
        <v>0</v>
      </c>
      <c r="P24" s="58"/>
      <c r="R24" s="1"/>
      <c r="Y24"/>
      <c r="Z24" s="1"/>
    </row>
    <row r="25" spans="2:26" ht="18.75" customHeight="1" x14ac:dyDescent="0.3">
      <c r="B25" s="61">
        <f t="shared" si="0"/>
        <v>92</v>
      </c>
      <c r="C25" s="125"/>
      <c r="D25" s="125"/>
      <c r="E25" s="125"/>
      <c r="F25" s="125"/>
      <c r="G25" s="125"/>
      <c r="H25" s="112">
        <f>C25 +D25+E25*Parameters!$C$7 +F25*Parameters!$C$6+G25*Parameters!$C$8</f>
        <v>0</v>
      </c>
      <c r="J25" s="67">
        <f t="shared" si="1"/>
        <v>92</v>
      </c>
      <c r="K25" s="119">
        <f>(C25*Parameters!$C$10+E25*Parameters!$C$12*Parameters!$C$7+'Energy Calculator'!F25*Parameters!$C$6*Parameters!$C$11+'Energy Calculator'!G25*Parameters!$C$8*Parameters!$C$13)</f>
        <v>0</v>
      </c>
      <c r="P25" s="58"/>
      <c r="R25" s="1"/>
      <c r="Y25"/>
      <c r="Z25" s="1"/>
    </row>
    <row r="26" spans="2:26" ht="18.75" customHeight="1" x14ac:dyDescent="0.3">
      <c r="B26" s="61">
        <f t="shared" si="0"/>
        <v>122</v>
      </c>
      <c r="C26" s="125"/>
      <c r="D26" s="125"/>
      <c r="E26" s="125"/>
      <c r="F26" s="125"/>
      <c r="G26" s="125"/>
      <c r="H26" s="112">
        <f>C26 +D26+E26*Parameters!$C$7 +F26*Parameters!$C$6+G26*Parameters!$C$8</f>
        <v>0</v>
      </c>
      <c r="J26" s="67">
        <f t="shared" si="1"/>
        <v>122</v>
      </c>
      <c r="K26" s="119">
        <f>(C26*Parameters!$C$10+E26*Parameters!$C$12*Parameters!$C$7+'Energy Calculator'!F26*Parameters!$C$6*Parameters!$C$11+'Energy Calculator'!G26*Parameters!$C$8*Parameters!$C$13)</f>
        <v>0</v>
      </c>
      <c r="P26" s="58"/>
      <c r="R26" s="1"/>
      <c r="Y26"/>
      <c r="Z26" s="1"/>
    </row>
    <row r="27" spans="2:26" ht="18.75" customHeight="1" x14ac:dyDescent="0.3">
      <c r="B27" s="61">
        <f t="shared" si="0"/>
        <v>153</v>
      </c>
      <c r="C27" s="125"/>
      <c r="D27" s="125"/>
      <c r="E27" s="125"/>
      <c r="F27" s="125"/>
      <c r="G27" s="125"/>
      <c r="H27" s="112">
        <f>C27 +D27+E27*Parameters!$C$7 +F27*Parameters!$C$6+G27*Parameters!$C$8</f>
        <v>0</v>
      </c>
      <c r="J27" s="67">
        <f t="shared" si="1"/>
        <v>153</v>
      </c>
      <c r="K27" s="119">
        <f>(C27*Parameters!$C$10+E27*Parameters!$C$12*Parameters!$C$7+'Energy Calculator'!F27*Parameters!$C$6*Parameters!$C$11+'Energy Calculator'!G27*Parameters!$C$8*Parameters!$C$13)</f>
        <v>0</v>
      </c>
      <c r="P27" s="58"/>
      <c r="R27" s="1"/>
      <c r="Y27"/>
      <c r="Z27" s="1"/>
    </row>
    <row r="28" spans="2:26" ht="18.75" customHeight="1" x14ac:dyDescent="0.3">
      <c r="B28" s="61">
        <f t="shared" si="0"/>
        <v>183</v>
      </c>
      <c r="C28" s="125"/>
      <c r="D28" s="125"/>
      <c r="E28" s="125"/>
      <c r="F28" s="125"/>
      <c r="G28" s="125"/>
      <c r="H28" s="112">
        <f>C28 +D28+E28*Parameters!$C$7 +F28*Parameters!$C$6+G28*Parameters!$C$8</f>
        <v>0</v>
      </c>
      <c r="J28" s="67">
        <f t="shared" si="1"/>
        <v>183</v>
      </c>
      <c r="K28" s="119">
        <f>(C28*Parameters!$C$10+E28*Parameters!$C$12*Parameters!$C$7+'Energy Calculator'!F28*Parameters!$C$6*Parameters!$C$11+'Energy Calculator'!G28*Parameters!$C$8*Parameters!$C$13)</f>
        <v>0</v>
      </c>
      <c r="P28" s="58"/>
      <c r="R28" s="1"/>
      <c r="Y28"/>
      <c r="Z28" s="1"/>
    </row>
    <row r="29" spans="2:26" ht="18.75" customHeight="1" x14ac:dyDescent="0.3">
      <c r="B29" s="61">
        <f t="shared" si="0"/>
        <v>214</v>
      </c>
      <c r="C29" s="125"/>
      <c r="D29" s="125"/>
      <c r="E29" s="125"/>
      <c r="F29" s="125"/>
      <c r="G29" s="125"/>
      <c r="H29" s="112">
        <f>C29 +D29+E29*Parameters!$C$7 +F29*Parameters!$C$6+G29*Parameters!$C$8</f>
        <v>0</v>
      </c>
      <c r="J29" s="67">
        <f t="shared" si="1"/>
        <v>214</v>
      </c>
      <c r="K29" s="119">
        <f>(C29*Parameters!$C$10+E29*Parameters!$C$12*Parameters!$C$7+'Energy Calculator'!F29*Parameters!$C$6*Parameters!$C$11+'Energy Calculator'!G29*Parameters!$C$8*Parameters!$C$13)</f>
        <v>0</v>
      </c>
      <c r="P29" s="58"/>
      <c r="R29" s="1"/>
      <c r="Y29"/>
      <c r="Z29" s="1"/>
    </row>
    <row r="30" spans="2:26" ht="18.75" customHeight="1" x14ac:dyDescent="0.3">
      <c r="B30" s="61">
        <f t="shared" si="0"/>
        <v>245</v>
      </c>
      <c r="C30" s="125"/>
      <c r="D30" s="125"/>
      <c r="E30" s="125"/>
      <c r="F30" s="125"/>
      <c r="G30" s="125"/>
      <c r="H30" s="112">
        <f>C30 +D30+E30*Parameters!$C$7 +F30*Parameters!$C$6+G30*Parameters!$C$8</f>
        <v>0</v>
      </c>
      <c r="J30" s="67">
        <f t="shared" si="1"/>
        <v>245</v>
      </c>
      <c r="K30" s="119">
        <f>(C30*Parameters!$C$10+E30*Parameters!$C$12*Parameters!$C$7+'Energy Calculator'!F30*Parameters!$C$6*Parameters!$C$11+'Energy Calculator'!G30*Parameters!$C$8*Parameters!$C$13)</f>
        <v>0</v>
      </c>
      <c r="P30" s="58"/>
      <c r="R30" s="1"/>
      <c r="Y30"/>
      <c r="Z30" s="1"/>
    </row>
    <row r="31" spans="2:26" ht="18.75" customHeight="1" x14ac:dyDescent="0.3">
      <c r="B31" s="61">
        <f t="shared" si="0"/>
        <v>275</v>
      </c>
      <c r="C31" s="125"/>
      <c r="D31" s="125"/>
      <c r="E31" s="125"/>
      <c r="F31" s="125"/>
      <c r="G31" s="125"/>
      <c r="H31" s="112">
        <f>C31 +D31+E31*Parameters!$C$7 +F31*Parameters!$C$6+G31*Parameters!$C$8</f>
        <v>0</v>
      </c>
      <c r="J31" s="67">
        <f t="shared" si="1"/>
        <v>275</v>
      </c>
      <c r="K31" s="119">
        <f>(C31*Parameters!$C$10+E31*Parameters!$C$12*Parameters!$C$7+'Energy Calculator'!F31*Parameters!$C$6*Parameters!$C$11+'Energy Calculator'!G31*Parameters!$C$8*Parameters!$C$13)</f>
        <v>0</v>
      </c>
      <c r="P31" s="58"/>
      <c r="R31" s="1"/>
      <c r="Y31"/>
      <c r="Z31" s="1"/>
    </row>
    <row r="32" spans="2:26" ht="18.75" customHeight="1" x14ac:dyDescent="0.3">
      <c r="B32" s="61">
        <f t="shared" si="0"/>
        <v>306</v>
      </c>
      <c r="C32" s="125"/>
      <c r="D32" s="125"/>
      <c r="E32" s="125"/>
      <c r="F32" s="125"/>
      <c r="G32" s="125"/>
      <c r="H32" s="112">
        <f>C32 +D32+E32*Parameters!$C$7 +F32*Parameters!$C$6+G32*Parameters!$C$8</f>
        <v>0</v>
      </c>
      <c r="J32" s="67">
        <f t="shared" si="1"/>
        <v>306</v>
      </c>
      <c r="K32" s="119">
        <f>(C32*Parameters!$C$10+E32*Parameters!$C$12*Parameters!$C$7+'Energy Calculator'!F32*Parameters!$C$6*Parameters!$C$11+'Energy Calculator'!G32*Parameters!$C$8*Parameters!$C$13)</f>
        <v>0</v>
      </c>
      <c r="P32" s="58"/>
      <c r="R32" s="1"/>
      <c r="Y32"/>
      <c r="Z32" s="1"/>
    </row>
    <row r="33" spans="2:26" ht="18.75" customHeight="1" x14ac:dyDescent="0.3">
      <c r="B33" s="61">
        <f t="shared" si="0"/>
        <v>336</v>
      </c>
      <c r="C33" s="125"/>
      <c r="D33" s="125"/>
      <c r="E33" s="125"/>
      <c r="F33" s="125"/>
      <c r="G33" s="125"/>
      <c r="H33" s="112">
        <f>C33 +D33+E33*Parameters!$C$7 +F33*Parameters!$C$6+G33*Parameters!$C$8</f>
        <v>0</v>
      </c>
      <c r="J33" s="65">
        <f t="shared" si="1"/>
        <v>336</v>
      </c>
      <c r="K33" s="119">
        <f>(C33*Parameters!$C$10+E33*Parameters!$C$12*Parameters!$C$7+'Energy Calculator'!F33*Parameters!$C$6*Parameters!$C$11+'Energy Calculator'!G33*Parameters!$C$8*Parameters!$C$13)</f>
        <v>0</v>
      </c>
      <c r="P33" s="58"/>
      <c r="R33" s="1"/>
      <c r="Y33"/>
      <c r="Z33" s="1"/>
    </row>
    <row r="34" spans="2:26" ht="18.75" customHeight="1" x14ac:dyDescent="0.3">
      <c r="B34" s="66" t="s">
        <v>36</v>
      </c>
      <c r="C34" s="112">
        <f>SUM(C22:C33)</f>
        <v>0</v>
      </c>
      <c r="D34" s="112"/>
      <c r="E34" s="112"/>
      <c r="F34" s="112"/>
      <c r="G34" s="112">
        <f t="shared" ref="G34" si="2">SUM(G22:G33)</f>
        <v>0</v>
      </c>
      <c r="H34" s="112">
        <f>SUM(H22:H33)</f>
        <v>0</v>
      </c>
      <c r="J34" s="66" t="s">
        <v>36</v>
      </c>
      <c r="K34" s="119">
        <f>SUM(K22:K33)</f>
        <v>0</v>
      </c>
      <c r="Q34" s="58"/>
      <c r="R34" s="1"/>
      <c r="Z34" s="1"/>
    </row>
    <row r="35" spans="2:26" x14ac:dyDescent="0.3">
      <c r="H35" s="62"/>
      <c r="I35" s="63"/>
      <c r="J35" s="63"/>
      <c r="K35" s="63"/>
      <c r="L35" s="63"/>
      <c r="M35" s="63"/>
      <c r="N35" s="63"/>
      <c r="O35" s="63"/>
      <c r="R35" s="64"/>
      <c r="U35" s="62"/>
      <c r="V35" s="63"/>
      <c r="W35" s="63"/>
      <c r="Y35" s="62"/>
      <c r="Z35" s="1"/>
    </row>
    <row r="36" spans="2:26" x14ac:dyDescent="0.3">
      <c r="H36" s="62"/>
      <c r="I36" s="63"/>
      <c r="J36" s="63"/>
      <c r="K36" s="63"/>
      <c r="L36" s="63"/>
      <c r="M36" s="63"/>
      <c r="N36" s="63"/>
      <c r="O36" s="63"/>
      <c r="R36" s="64"/>
      <c r="U36" s="62"/>
      <c r="V36" s="63"/>
      <c r="W36" s="63"/>
      <c r="Y36" s="62"/>
      <c r="Z36" s="1"/>
    </row>
    <row r="37" spans="2:26" x14ac:dyDescent="0.3">
      <c r="H37" s="62"/>
      <c r="I37" s="63"/>
      <c r="J37" s="63"/>
      <c r="K37" s="63"/>
      <c r="L37" s="63"/>
      <c r="M37" s="63"/>
      <c r="N37" s="63"/>
      <c r="O37" s="63"/>
      <c r="R37" s="64"/>
      <c r="U37" s="62"/>
      <c r="V37" s="63"/>
      <c r="W37" s="63"/>
      <c r="Y37" s="62"/>
      <c r="Z37" s="1"/>
    </row>
    <row r="38" spans="2:26" x14ac:dyDescent="0.3">
      <c r="Z38" s="1"/>
    </row>
    <row r="39" spans="2:26" ht="49.5" customHeight="1" x14ac:dyDescent="0.3">
      <c r="C39" s="94" t="s">
        <v>49</v>
      </c>
      <c r="D39" s="120" t="s">
        <v>50</v>
      </c>
      <c r="E39" s="92"/>
      <c r="F39" s="92"/>
      <c r="G39" s="157" t="s">
        <v>51</v>
      </c>
      <c r="H39" s="158"/>
      <c r="K39" s="157" t="s">
        <v>52</v>
      </c>
      <c r="L39" s="158"/>
      <c r="O39" s="58"/>
      <c r="R39" s="1"/>
      <c r="Z39" s="1"/>
    </row>
    <row r="40" spans="2:26" ht="33.75" customHeight="1" x14ac:dyDescent="0.3">
      <c r="C40" s="81" t="str">
        <f>IF(D39="kg","Production (kg)",IF(D39="Trays","Production (Trays)",IF(D39="T","Production (T)",IF(D39="Crates","Production (Crates)",IF(D39="Boxes","Production (Box)","Production")))))</f>
        <v>Production (kg)</v>
      </c>
      <c r="D40" s="80" t="s">
        <v>36</v>
      </c>
      <c r="G40" s="84" t="s">
        <v>53</v>
      </c>
      <c r="H40" s="84" t="str">
        <f>IF(D39="kg","kWh/kg",IF(D39="Trays","kWh/Trays",IF(D39="T","kWh/T",IF(D39="Crates","kWh/Crates",IF(D39="Boxes","kWh/Box","kWh/production")))))</f>
        <v>kWh/kg</v>
      </c>
      <c r="K40" s="84" t="s">
        <v>54</v>
      </c>
      <c r="L40" s="84" t="str">
        <f>IF(D39="kg","kg CO2-e/kg",IF(D39="Trays","kg CO2-e/Trays",IF(D39="T","kg CO2-e/T",IF(D39="Crates","kg CO2-e/Crates",IF(D39="Boxes","kg CO2-e/Box","kg CO2-e/production")))))</f>
        <v>kg CO2-e/kg</v>
      </c>
      <c r="R40" s="1"/>
      <c r="Z40" s="1"/>
    </row>
    <row r="41" spans="2:26" ht="18.75" customHeight="1" x14ac:dyDescent="0.3">
      <c r="B41" s="61">
        <f>$D$12</f>
        <v>0</v>
      </c>
      <c r="C41" s="125"/>
      <c r="D41" s="112">
        <f t="shared" ref="D41:D52" si="3">SUM(C41:C41)</f>
        <v>0</v>
      </c>
      <c r="F41" s="61">
        <f t="shared" ref="F41:F52" si="4">B41</f>
        <v>0</v>
      </c>
      <c r="G41" s="115" t="str">
        <f t="shared" ref="G41:G47" si="5">IF(I12&gt;0,H22/$J$12,"")</f>
        <v/>
      </c>
      <c r="H41" s="116" t="str">
        <f>IF((C41)&gt;0,H22/(C41),"")</f>
        <v/>
      </c>
      <c r="J41" s="61">
        <f t="shared" ref="J41:J52" si="6">B41</f>
        <v>0</v>
      </c>
      <c r="K41" s="116">
        <f>IF(($J$12)&gt;0,K22/($J$12),0)</f>
        <v>0</v>
      </c>
      <c r="L41" s="116">
        <f t="shared" ref="L41:L52" si="7">IF((D41)&gt;0,K22/(D41),0)</f>
        <v>0</v>
      </c>
      <c r="R41" s="1"/>
      <c r="Z41" s="1"/>
    </row>
    <row r="42" spans="2:26" ht="18.75" customHeight="1" x14ac:dyDescent="0.3">
      <c r="B42" s="61">
        <f>DATE(YEAR(B41),MONTH(B41)+1,1)</f>
        <v>32</v>
      </c>
      <c r="C42" s="125"/>
      <c r="D42" s="112">
        <f t="shared" si="3"/>
        <v>0</v>
      </c>
      <c r="F42" s="61">
        <f t="shared" si="4"/>
        <v>32</v>
      </c>
      <c r="G42" s="115" t="str">
        <f t="shared" si="5"/>
        <v/>
      </c>
      <c r="H42" s="116" t="str">
        <f t="shared" ref="H42:H52" si="8">IF((C42)&gt;0,H23/(C42),"")</f>
        <v/>
      </c>
      <c r="J42" s="61">
        <f t="shared" si="6"/>
        <v>32</v>
      </c>
      <c r="K42" s="116">
        <f>IF(($J$12)&gt;0,K23/($J$12),0)</f>
        <v>0</v>
      </c>
      <c r="L42" s="116">
        <f t="shared" si="7"/>
        <v>0</v>
      </c>
      <c r="R42" s="1"/>
      <c r="Z42" s="1"/>
    </row>
    <row r="43" spans="2:26" ht="18.75" customHeight="1" x14ac:dyDescent="0.3">
      <c r="B43" s="61">
        <f t="shared" ref="B43:B52" si="9">DATE(YEAR(B42),MONTH(B42)+1,1)</f>
        <v>61</v>
      </c>
      <c r="C43" s="125"/>
      <c r="D43" s="112">
        <f t="shared" si="3"/>
        <v>0</v>
      </c>
      <c r="F43" s="61">
        <f t="shared" si="4"/>
        <v>61</v>
      </c>
      <c r="G43" s="115" t="str">
        <f t="shared" si="5"/>
        <v/>
      </c>
      <c r="H43" s="116" t="str">
        <f t="shared" si="8"/>
        <v/>
      </c>
      <c r="J43" s="61">
        <f t="shared" si="6"/>
        <v>61</v>
      </c>
      <c r="K43" s="116">
        <f t="shared" ref="K43:K52" si="10">IF(($J$12)&gt;0,K24/($J$12),0)</f>
        <v>0</v>
      </c>
      <c r="L43" s="116">
        <f t="shared" si="7"/>
        <v>0</v>
      </c>
      <c r="R43" s="1"/>
      <c r="Z43" s="1"/>
    </row>
    <row r="44" spans="2:26" ht="18.75" customHeight="1" x14ac:dyDescent="0.3">
      <c r="B44" s="61">
        <f t="shared" si="9"/>
        <v>92</v>
      </c>
      <c r="C44" s="125"/>
      <c r="D44" s="112">
        <f t="shared" si="3"/>
        <v>0</v>
      </c>
      <c r="F44" s="61">
        <f t="shared" si="4"/>
        <v>92</v>
      </c>
      <c r="G44" s="115" t="str">
        <f t="shared" si="5"/>
        <v/>
      </c>
      <c r="H44" s="116" t="str">
        <f t="shared" si="8"/>
        <v/>
      </c>
      <c r="J44" s="61">
        <f t="shared" si="6"/>
        <v>92</v>
      </c>
      <c r="K44" s="116">
        <f t="shared" si="10"/>
        <v>0</v>
      </c>
      <c r="L44" s="116">
        <f t="shared" si="7"/>
        <v>0</v>
      </c>
      <c r="R44" s="1"/>
      <c r="Z44" s="1"/>
    </row>
    <row r="45" spans="2:26" ht="18.75" customHeight="1" x14ac:dyDescent="0.3">
      <c r="B45" s="61">
        <f t="shared" si="9"/>
        <v>122</v>
      </c>
      <c r="C45" s="125"/>
      <c r="D45" s="112">
        <f t="shared" si="3"/>
        <v>0</v>
      </c>
      <c r="F45" s="61">
        <f t="shared" si="4"/>
        <v>122</v>
      </c>
      <c r="G45" s="115" t="str">
        <f t="shared" si="5"/>
        <v/>
      </c>
      <c r="H45" s="116" t="str">
        <f t="shared" si="8"/>
        <v/>
      </c>
      <c r="J45" s="61">
        <f t="shared" si="6"/>
        <v>122</v>
      </c>
      <c r="K45" s="116">
        <f t="shared" si="10"/>
        <v>0</v>
      </c>
      <c r="L45" s="116">
        <f t="shared" si="7"/>
        <v>0</v>
      </c>
      <c r="R45" s="1"/>
      <c r="Z45" s="1"/>
    </row>
    <row r="46" spans="2:26" ht="18.75" customHeight="1" x14ac:dyDescent="0.3">
      <c r="B46" s="61">
        <f t="shared" si="9"/>
        <v>153</v>
      </c>
      <c r="C46" s="125"/>
      <c r="D46" s="112">
        <f t="shared" si="3"/>
        <v>0</v>
      </c>
      <c r="F46" s="61">
        <f t="shared" si="4"/>
        <v>153</v>
      </c>
      <c r="G46" s="115" t="str">
        <f t="shared" si="5"/>
        <v/>
      </c>
      <c r="H46" s="116" t="str">
        <f t="shared" si="8"/>
        <v/>
      </c>
      <c r="J46" s="61">
        <f t="shared" si="6"/>
        <v>153</v>
      </c>
      <c r="K46" s="116">
        <f t="shared" si="10"/>
        <v>0</v>
      </c>
      <c r="L46" s="116">
        <f t="shared" si="7"/>
        <v>0</v>
      </c>
      <c r="R46" s="1"/>
      <c r="Z46" s="1"/>
    </row>
    <row r="47" spans="2:26" ht="18.75" customHeight="1" x14ac:dyDescent="0.3">
      <c r="B47" s="61">
        <f t="shared" si="9"/>
        <v>183</v>
      </c>
      <c r="C47" s="125"/>
      <c r="D47" s="112">
        <f t="shared" si="3"/>
        <v>0</v>
      </c>
      <c r="F47" s="61">
        <f t="shared" si="4"/>
        <v>183</v>
      </c>
      <c r="G47" s="115" t="str">
        <f t="shared" si="5"/>
        <v/>
      </c>
      <c r="H47" s="116" t="str">
        <f t="shared" si="8"/>
        <v/>
      </c>
      <c r="J47" s="61">
        <f t="shared" si="6"/>
        <v>183</v>
      </c>
      <c r="K47" s="116">
        <f t="shared" si="10"/>
        <v>0</v>
      </c>
      <c r="L47" s="116">
        <f t="shared" si="7"/>
        <v>0</v>
      </c>
      <c r="R47" s="1"/>
      <c r="Z47" s="1"/>
    </row>
    <row r="48" spans="2:26" ht="18.75" customHeight="1" x14ac:dyDescent="0.3">
      <c r="B48" s="61">
        <f t="shared" si="9"/>
        <v>214</v>
      </c>
      <c r="C48" s="125"/>
      <c r="D48" s="112">
        <f t="shared" si="3"/>
        <v>0</v>
      </c>
      <c r="F48" s="61">
        <f t="shared" si="4"/>
        <v>214</v>
      </c>
      <c r="G48" s="115" t="str">
        <f>IF(L19&gt;0,H29/$J$12,"")</f>
        <v/>
      </c>
      <c r="H48" s="116" t="str">
        <f t="shared" si="8"/>
        <v/>
      </c>
      <c r="J48" s="61">
        <f t="shared" si="6"/>
        <v>214</v>
      </c>
      <c r="K48" s="116">
        <f t="shared" si="10"/>
        <v>0</v>
      </c>
      <c r="L48" s="116">
        <f t="shared" si="7"/>
        <v>0</v>
      </c>
      <c r="R48" s="1"/>
      <c r="Z48" s="1"/>
    </row>
    <row r="49" spans="2:26" ht="18.75" customHeight="1" x14ac:dyDescent="0.3">
      <c r="B49" s="61">
        <f t="shared" si="9"/>
        <v>245</v>
      </c>
      <c r="C49" s="125"/>
      <c r="D49" s="112">
        <f t="shared" si="3"/>
        <v>0</v>
      </c>
      <c r="F49" s="61">
        <f t="shared" si="4"/>
        <v>245</v>
      </c>
      <c r="G49" s="115" t="str">
        <f>IF(L20&gt;0,H30/$J$12,"")</f>
        <v/>
      </c>
      <c r="H49" s="116" t="str">
        <f t="shared" si="8"/>
        <v/>
      </c>
      <c r="J49" s="61">
        <f t="shared" si="6"/>
        <v>245</v>
      </c>
      <c r="K49" s="116">
        <f t="shared" si="10"/>
        <v>0</v>
      </c>
      <c r="L49" s="116">
        <f t="shared" si="7"/>
        <v>0</v>
      </c>
      <c r="R49" s="1"/>
      <c r="Z49" s="1"/>
    </row>
    <row r="50" spans="2:26" ht="18.75" customHeight="1" x14ac:dyDescent="0.3">
      <c r="B50" s="61">
        <f t="shared" si="9"/>
        <v>275</v>
      </c>
      <c r="C50" s="125"/>
      <c r="D50" s="112">
        <f t="shared" si="3"/>
        <v>0</v>
      </c>
      <c r="F50" s="61">
        <f t="shared" si="4"/>
        <v>275</v>
      </c>
      <c r="G50" s="115" t="str">
        <f>IF(L21&gt;0,H31/$J$12,"")</f>
        <v/>
      </c>
      <c r="H50" s="116" t="str">
        <f t="shared" si="8"/>
        <v/>
      </c>
      <c r="J50" s="61">
        <f t="shared" si="6"/>
        <v>275</v>
      </c>
      <c r="K50" s="116">
        <f t="shared" si="10"/>
        <v>0</v>
      </c>
      <c r="L50" s="116">
        <f t="shared" si="7"/>
        <v>0</v>
      </c>
      <c r="R50" s="1"/>
      <c r="U50"/>
      <c r="Z50" s="1"/>
    </row>
    <row r="51" spans="2:26" ht="18.75" customHeight="1" x14ac:dyDescent="0.3">
      <c r="B51" s="61">
        <f t="shared" si="9"/>
        <v>306</v>
      </c>
      <c r="C51" s="125"/>
      <c r="D51" s="112">
        <f t="shared" si="3"/>
        <v>0</v>
      </c>
      <c r="F51" s="61">
        <f t="shared" si="4"/>
        <v>306</v>
      </c>
      <c r="G51" s="115" t="str">
        <f>IF(L22&gt;0,H32/$J$12,"")</f>
        <v/>
      </c>
      <c r="H51" s="116" t="str">
        <f t="shared" si="8"/>
        <v/>
      </c>
      <c r="J51" s="61">
        <f t="shared" si="6"/>
        <v>306</v>
      </c>
      <c r="K51" s="116">
        <f t="shared" si="10"/>
        <v>0</v>
      </c>
      <c r="L51" s="116">
        <f t="shared" si="7"/>
        <v>0</v>
      </c>
      <c r="R51" s="1"/>
      <c r="U51"/>
      <c r="Z51" s="1"/>
    </row>
    <row r="52" spans="2:26" ht="18.75" customHeight="1" x14ac:dyDescent="0.3">
      <c r="B52" s="61">
        <f t="shared" si="9"/>
        <v>336</v>
      </c>
      <c r="C52" s="125"/>
      <c r="D52" s="112">
        <f t="shared" si="3"/>
        <v>0</v>
      </c>
      <c r="F52" s="65">
        <f t="shared" si="4"/>
        <v>336</v>
      </c>
      <c r="G52" s="115" t="str">
        <f>IF(L23&gt;0,H33/$J$12,"")</f>
        <v/>
      </c>
      <c r="H52" s="116" t="str">
        <f t="shared" si="8"/>
        <v/>
      </c>
      <c r="J52" s="65">
        <f t="shared" si="6"/>
        <v>336</v>
      </c>
      <c r="K52" s="116">
        <f t="shared" si="10"/>
        <v>0</v>
      </c>
      <c r="L52" s="116">
        <f t="shared" si="7"/>
        <v>0</v>
      </c>
      <c r="R52" s="1"/>
      <c r="U52"/>
      <c r="Z52" s="1"/>
    </row>
    <row r="53" spans="2:26" ht="18.75" customHeight="1" x14ac:dyDescent="0.3">
      <c r="B53" s="66" t="s">
        <v>55</v>
      </c>
      <c r="C53" s="114">
        <f>IFERROR(AVERAGE(C41:C52),0)</f>
        <v>0</v>
      </c>
      <c r="D53" s="114">
        <f>AVERAGE(D41:D52)</f>
        <v>0</v>
      </c>
      <c r="F53" s="62" t="s">
        <v>55</v>
      </c>
      <c r="G53" s="117">
        <f>IFERROR(AVERAGE(G41:G52),0)</f>
        <v>0</v>
      </c>
      <c r="H53" s="118">
        <f>IFERROR(AVERAGE(H41:H52),0)</f>
        <v>0</v>
      </c>
      <c r="J53" s="62" t="s">
        <v>55</v>
      </c>
      <c r="K53" s="118">
        <f>IFERROR(AVERAGE(K41:K52),0)</f>
        <v>0</v>
      </c>
      <c r="L53" s="118">
        <f>IFERROR(AVERAGE(L41:L52),0)</f>
        <v>0</v>
      </c>
      <c r="R53" s="1"/>
      <c r="U53"/>
      <c r="Z53" s="1"/>
    </row>
    <row r="54" spans="2:26" x14ac:dyDescent="0.3"/>
    <row r="55" spans="2:26" x14ac:dyDescent="0.3"/>
    <row r="56" spans="2:26" ht="49.5" customHeight="1" x14ac:dyDescent="0.3"/>
    <row r="57" spans="2:26" ht="33.75" customHeight="1" x14ac:dyDescent="0.3"/>
    <row r="58" spans="2:26" ht="18.75" customHeight="1" x14ac:dyDescent="0.3"/>
    <row r="59" spans="2:26" ht="18.75" customHeight="1" x14ac:dyDescent="0.3"/>
    <row r="60" spans="2:26" ht="18.75" customHeight="1" x14ac:dyDescent="0.3"/>
    <row r="61" spans="2:26" ht="18.75" customHeight="1" x14ac:dyDescent="0.3"/>
    <row r="62" spans="2:26" ht="18.75" customHeight="1" x14ac:dyDescent="0.3"/>
    <row r="63" spans="2:26" ht="18.75" customHeight="1" x14ac:dyDescent="0.3"/>
    <row r="64" spans="2:26"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x14ac:dyDescent="0.3"/>
    <row r="72" x14ac:dyDescent="0.3"/>
    <row r="73" x14ac:dyDescent="0.3"/>
    <row r="74" x14ac:dyDescent="0.3"/>
    <row r="75" x14ac:dyDescent="0.3"/>
    <row r="76" x14ac:dyDescent="0.3"/>
    <row r="77" x14ac:dyDescent="0.3"/>
    <row r="78" x14ac:dyDescent="0.3"/>
    <row r="79" x14ac:dyDescent="0.3"/>
  </sheetData>
  <protectedRanges>
    <protectedRange sqref="C12:E12 G12:I12 C41:C52 C22:G33" name="Range1"/>
  </protectedRanges>
  <mergeCells count="11">
    <mergeCell ref="B1:AC1"/>
    <mergeCell ref="G39:H39"/>
    <mergeCell ref="K39:L39"/>
    <mergeCell ref="G10:J10"/>
    <mergeCell ref="C15:E15"/>
    <mergeCell ref="G4:N7"/>
    <mergeCell ref="G11:H11"/>
    <mergeCell ref="G12:H12"/>
    <mergeCell ref="C19:C20"/>
    <mergeCell ref="C18:H18"/>
    <mergeCell ref="D19:D20"/>
  </mergeCells>
  <phoneticPr fontId="8" type="noConversion"/>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4EDBC08E-B090-40CB-8760-839C91E65B5A}">
          <x14:formula1>
            <xm:f>'Background Calcs'!$D$22:$R$22</xm:f>
          </x14:formula1>
          <xm:sqref>E12</xm:sqref>
        </x14:dataValidation>
        <x14:dataValidation type="list" allowBlank="1" showInputMessage="1" showErrorMessage="1" xr:uid="{2193447E-2BA0-492A-8AAB-8E9CF0D8C7C7}">
          <x14:formula1>
            <xm:f>'Background Calcs'!$K$5:$K$10</xm:f>
          </x14:formula1>
          <xm:sqref>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dimension ref="A1:AE102"/>
  <sheetViews>
    <sheetView showGridLines="0" zoomScaleNormal="100" workbookViewId="0">
      <selection activeCell="N6" sqref="N6"/>
    </sheetView>
  </sheetViews>
  <sheetFormatPr defaultColWidth="0" defaultRowHeight="15" zeroHeight="1" x14ac:dyDescent="0.25"/>
  <cols>
    <col min="1" max="20" width="9.140625" style="30" customWidth="1"/>
    <col min="21" max="22" width="9.140625" style="30" hidden="1" customWidth="1"/>
    <col min="23" max="16384" width="9.140625" style="30" hidden="1"/>
  </cols>
  <sheetData>
    <row r="1" spans="1:31" customFormat="1" ht="122.1" customHeight="1" x14ac:dyDescent="0.25">
      <c r="A1" s="100" t="s">
        <v>0</v>
      </c>
      <c r="B1" s="154" t="str">
        <f>"Summary Graphs for: "&amp;'Energy Calculator'!$C$12</f>
        <v xml:space="preserve">Summary Graphs for: </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01"/>
      <c r="AE1" s="101"/>
    </row>
    <row r="2" spans="1:31" s="45" customFormat="1" x14ac:dyDescent="0.25">
      <c r="D2" s="71"/>
      <c r="E2" s="72"/>
    </row>
    <row r="3" spans="1:31" x14ac:dyDescent="0.25"/>
    <row r="4" spans="1:31" x14ac:dyDescent="0.25"/>
    <row r="5" spans="1:31" x14ac:dyDescent="0.25"/>
    <row r="6" spans="1:31" x14ac:dyDescent="0.25"/>
    <row r="7" spans="1:31" x14ac:dyDescent="0.25"/>
    <row r="8" spans="1:31" x14ac:dyDescent="0.25"/>
    <row r="9" spans="1:31" x14ac:dyDescent="0.25"/>
    <row r="10" spans="1:31" x14ac:dyDescent="0.25"/>
    <row r="11" spans="1:31" x14ac:dyDescent="0.25"/>
    <row r="12" spans="1:31" x14ac:dyDescent="0.25"/>
    <row r="13" spans="1:31" x14ac:dyDescent="0.25"/>
    <row r="14" spans="1:31" x14ac:dyDescent="0.25"/>
    <row r="15" spans="1:31" x14ac:dyDescent="0.25"/>
    <row r="16" spans="1:3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sheetData>
  <sheetProtection selectLockedCells="1" selectUnlockedCells="1"/>
  <mergeCells count="1">
    <mergeCell ref="B1:A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dimension ref="B1:S19"/>
  <sheetViews>
    <sheetView showGridLines="0" zoomScale="115" zoomScaleNormal="115" workbookViewId="0">
      <selection activeCell="C13" sqref="C13"/>
    </sheetView>
  </sheetViews>
  <sheetFormatPr defaultColWidth="8.85546875" defaultRowHeight="15" x14ac:dyDescent="0.25"/>
  <cols>
    <col min="1" max="1" width="8.85546875" style="30" customWidth="1"/>
    <col min="2" max="2" width="40.42578125" style="30" bestFit="1" customWidth="1"/>
    <col min="3" max="3" width="18.85546875" style="30" customWidth="1"/>
    <col min="4" max="4" width="19.140625" style="30" customWidth="1"/>
    <col min="5" max="6" width="15.5703125" style="30" customWidth="1"/>
    <col min="7" max="7" width="15.5703125" style="30" hidden="1" customWidth="1"/>
    <col min="8" max="11" width="8.85546875" style="30" customWidth="1"/>
    <col min="12" max="12" width="10.42578125" style="30" customWidth="1"/>
    <col min="13" max="18" width="8.85546875" style="30" customWidth="1"/>
    <col min="19" max="19" width="24.85546875" style="30" customWidth="1"/>
    <col min="20" max="20" width="8.85546875" style="30" customWidth="1"/>
    <col min="21" max="16384" width="8.85546875" style="30"/>
  </cols>
  <sheetData>
    <row r="1" spans="2:19" ht="18.75" x14ac:dyDescent="0.3">
      <c r="B1" s="36" t="s">
        <v>56</v>
      </c>
      <c r="C1" s="37"/>
      <c r="E1" s="37"/>
      <c r="M1" s="40"/>
      <c r="N1" s="38"/>
      <c r="Q1" s="39"/>
      <c r="S1" s="40"/>
    </row>
    <row r="2" spans="2:19" x14ac:dyDescent="0.25">
      <c r="B2" s="44"/>
      <c r="C2" s="50"/>
      <c r="D2" s="44"/>
      <c r="E2" s="44"/>
      <c r="F2" s="3"/>
      <c r="G2" s="44"/>
      <c r="H2" s="3"/>
      <c r="I2" s="44"/>
      <c r="J2" s="50"/>
      <c r="K2" s="50"/>
      <c r="L2" s="50"/>
      <c r="M2" s="42"/>
      <c r="N2" s="53"/>
      <c r="O2" s="50"/>
      <c r="P2" s="50"/>
      <c r="Q2" s="3"/>
      <c r="R2" s="50"/>
      <c r="S2" s="3"/>
    </row>
    <row r="3" spans="2:19" x14ac:dyDescent="0.25">
      <c r="B3" s="48" t="s">
        <v>57</v>
      </c>
      <c r="C3" s="46"/>
      <c r="D3" s="46"/>
      <c r="E3" s="46"/>
      <c r="F3"/>
      <c r="G3" s="46"/>
      <c r="H3"/>
      <c r="I3" s="88" t="s">
        <v>58</v>
      </c>
      <c r="J3" s="46"/>
      <c r="K3" s="46"/>
      <c r="L3" s="46"/>
      <c r="M3" s="43"/>
      <c r="N3" s="54"/>
      <c r="O3" s="46"/>
      <c r="P3" s="46"/>
      <c r="Q3"/>
      <c r="R3" s="46"/>
      <c r="S3"/>
    </row>
    <row r="4" spans="2:19" x14ac:dyDescent="0.25">
      <c r="B4" s="32" t="s">
        <v>59</v>
      </c>
      <c r="C4" s="31">
        <f>1000/3.6</f>
        <v>277.77777777777777</v>
      </c>
      <c r="D4" s="33"/>
      <c r="F4" s="39"/>
      <c r="H4" s="39"/>
      <c r="M4" s="40"/>
      <c r="N4" s="38"/>
      <c r="Q4" s="39"/>
      <c r="S4" s="40"/>
    </row>
    <row r="5" spans="2:19" x14ac:dyDescent="0.25">
      <c r="B5" s="32" t="s">
        <v>60</v>
      </c>
      <c r="C5" s="31">
        <f>2858/411</f>
        <v>6.9537712895377126</v>
      </c>
      <c r="F5" s="39"/>
      <c r="H5" s="39"/>
      <c r="I5" s="33" t="s">
        <v>61</v>
      </c>
      <c r="M5" s="40"/>
      <c r="N5" s="38"/>
      <c r="Q5" s="39"/>
      <c r="S5" s="40"/>
    </row>
    <row r="6" spans="2:19" x14ac:dyDescent="0.25">
      <c r="B6" s="32" t="s">
        <v>62</v>
      </c>
      <c r="C6" s="31">
        <f>2858/210</f>
        <v>13.609523809523809</v>
      </c>
      <c r="F6" s="39"/>
      <c r="H6" s="39"/>
      <c r="I6" s="33" t="s">
        <v>61</v>
      </c>
      <c r="M6" s="40"/>
      <c r="N6" s="38"/>
      <c r="Q6" s="39"/>
      <c r="S6" s="40"/>
    </row>
    <row r="7" spans="2:19" x14ac:dyDescent="0.25">
      <c r="B7" s="32" t="s">
        <v>63</v>
      </c>
      <c r="C7" s="31">
        <f>38.1*C4/1000</f>
        <v>10.583333333333334</v>
      </c>
      <c r="F7" s="39"/>
      <c r="H7" s="39"/>
      <c r="I7" s="33" t="s">
        <v>64</v>
      </c>
      <c r="M7" s="40"/>
      <c r="N7" s="38"/>
      <c r="Q7" s="56"/>
      <c r="S7" s="40"/>
    </row>
    <row r="8" spans="2:19" x14ac:dyDescent="0.25">
      <c r="B8" s="32" t="s">
        <v>65</v>
      </c>
      <c r="C8" s="30">
        <v>8.8000000000000007</v>
      </c>
      <c r="F8" s="39"/>
      <c r="H8" s="39"/>
      <c r="M8" s="40"/>
      <c r="N8" s="38"/>
      <c r="Q8" s="39"/>
      <c r="S8" s="40"/>
    </row>
    <row r="9" spans="2:19" x14ac:dyDescent="0.25">
      <c r="B9" s="35" t="s">
        <v>66</v>
      </c>
      <c r="F9" s="39"/>
      <c r="H9" s="39"/>
      <c r="M9" s="40"/>
      <c r="N9" s="38"/>
      <c r="Q9" s="39"/>
      <c r="S9" s="40"/>
    </row>
    <row r="10" spans="2:19" x14ac:dyDescent="0.25">
      <c r="B10" s="32" t="s">
        <v>67</v>
      </c>
      <c r="C10" s="91">
        <f>0.0729</f>
        <v>7.2900000000000006E-2</v>
      </c>
      <c r="D10" s="30" t="s">
        <v>68</v>
      </c>
      <c r="F10" s="39"/>
      <c r="H10" s="39"/>
      <c r="I10" s="33" t="s">
        <v>69</v>
      </c>
      <c r="M10" s="40"/>
      <c r="N10" s="38"/>
      <c r="Q10" s="39"/>
      <c r="S10" s="40"/>
    </row>
    <row r="11" spans="2:19" x14ac:dyDescent="0.25">
      <c r="B11" s="32" t="s">
        <v>70</v>
      </c>
      <c r="C11" s="34">
        <f>2.97/C6</f>
        <v>0.21822953114065782</v>
      </c>
      <c r="F11" s="39"/>
      <c r="H11" s="39"/>
      <c r="I11" s="33" t="s">
        <v>69</v>
      </c>
      <c r="M11" s="40"/>
      <c r="N11" s="38"/>
      <c r="Q11" s="39"/>
      <c r="S11" s="40"/>
    </row>
    <row r="12" spans="2:19" x14ac:dyDescent="0.25">
      <c r="B12" s="32" t="s">
        <v>71</v>
      </c>
      <c r="C12" s="34">
        <f>2.67/C7</f>
        <v>0.25228346456692913</v>
      </c>
      <c r="F12" s="39"/>
      <c r="H12" s="39"/>
      <c r="I12" s="33" t="s">
        <v>69</v>
      </c>
      <c r="M12" s="40"/>
      <c r="N12" s="38"/>
      <c r="Q12" s="39"/>
      <c r="S12" s="40"/>
    </row>
    <row r="13" spans="2:19" x14ac:dyDescent="0.25">
      <c r="B13" s="49" t="s">
        <v>72</v>
      </c>
      <c r="C13" s="51">
        <f>2.37/C8</f>
        <v>0.26931818181818179</v>
      </c>
      <c r="D13" s="52"/>
      <c r="E13" s="50"/>
      <c r="F13" s="3"/>
      <c r="G13" s="50"/>
      <c r="H13" s="3"/>
      <c r="I13" s="50"/>
      <c r="J13" s="50"/>
      <c r="K13" s="50"/>
      <c r="L13" s="50"/>
      <c r="M13" s="42"/>
      <c r="N13" s="55"/>
      <c r="O13" s="44"/>
      <c r="P13" s="44"/>
      <c r="Q13" s="57"/>
      <c r="R13" s="44"/>
      <c r="S13" s="3"/>
    </row>
    <row r="14" spans="2:19" x14ac:dyDescent="0.25">
      <c r="B14" s="48" t="s">
        <v>73</v>
      </c>
      <c r="C14" s="46" t="s">
        <v>74</v>
      </c>
      <c r="D14" s="46"/>
      <c r="E14" s="46"/>
      <c r="F14"/>
      <c r="G14" s="46"/>
      <c r="I14" s="2" t="s">
        <v>75</v>
      </c>
      <c r="J14" s="41"/>
      <c r="K14" s="41"/>
      <c r="L14" s="46"/>
      <c r="M14" s="47"/>
      <c r="N14" s="54"/>
      <c r="O14" s="46"/>
      <c r="P14" s="46"/>
      <c r="Q14"/>
      <c r="R14" s="45"/>
      <c r="S14"/>
    </row>
    <row r="15" spans="2:19" x14ac:dyDescent="0.25">
      <c r="B15" s="90" t="s">
        <v>76</v>
      </c>
      <c r="C15" s="89">
        <v>45538</v>
      </c>
      <c r="F15" s="39"/>
      <c r="H15" s="39"/>
      <c r="M15" s="40"/>
      <c r="N15" s="38"/>
      <c r="Q15" s="39"/>
      <c r="S15" s="40"/>
    </row>
    <row r="16" spans="2:19" x14ac:dyDescent="0.25">
      <c r="F16" s="38"/>
      <c r="H16" s="40"/>
      <c r="M16" s="40"/>
      <c r="N16" s="38"/>
      <c r="Q16" s="39"/>
      <c r="S16" s="40"/>
    </row>
    <row r="17" spans="3:19" x14ac:dyDescent="0.25">
      <c r="C17" s="31"/>
      <c r="F17" s="38"/>
      <c r="H17" s="40"/>
      <c r="M17" s="40"/>
      <c r="Q17" s="39"/>
      <c r="S17" s="40"/>
    </row>
    <row r="18" spans="3:19" x14ac:dyDescent="0.25">
      <c r="M18" s="40"/>
      <c r="Q18" s="38"/>
      <c r="S18" s="40"/>
    </row>
    <row r="19" spans="3:19" x14ac:dyDescent="0.25">
      <c r="M19" s="40"/>
    </row>
  </sheetData>
  <sheetProtection algorithmName="SHA-512" hashValue="Y0hp4FxDuT30pwKk3zzqv2uLf5C/50/IhW/g3bJhudFI7ApSSXn05hc3lC9mqOnSm1Alh0mDQ6YTqxTFehwWig==" saltValue="n9uMw+mQPsH4rjL2dEeYpA==" spinCount="100000" sheet="1" objects="1" scenarios="1"/>
  <hyperlinks>
    <hyperlink ref="I5" r:id="rId1" xr:uid="{141CA5CF-FBAE-4A66-82DC-26D6C705FE58}"/>
    <hyperlink ref="I6" r:id="rId2" xr:uid="{6E175DCC-0CE2-4ACB-8984-A96FAD0BD17B}"/>
    <hyperlink ref="I14" r:id="rId3" xr:uid="{B53D130D-8D43-4B87-8461-0638E2019086}"/>
    <hyperlink ref="I7" r:id="rId4" xr:uid="{844CBFE5-9624-4B18-BF7D-C0CC2AC59682}"/>
    <hyperlink ref="I10" r:id="rId5" xr:uid="{6FC2515B-E2B9-45D0-BD3D-D421AC696A3B}"/>
    <hyperlink ref="I12" r:id="rId6" xr:uid="{268D845D-E358-4F01-B8A8-67FD6108FC37}"/>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dimension ref="A1"/>
  <sheetViews>
    <sheetView topLeftCell="A7" zoomScale="85" zoomScaleNormal="85" workbookViewId="0">
      <selection activeCell="R55" sqref="R55"/>
    </sheetView>
  </sheetViews>
  <sheetFormatPr defaultRowHeight="15" x14ac:dyDescent="0.25"/>
  <sheetData/>
  <sheetProtection algorithmName="SHA-512" hashValue="x2+88dDqUm0OlCVcJ8nkEeXdsSiwbuqXPTOSFwv9g0Iz7jYrsDBqFoaf9XKb34+zn6vEcTIT2+pjk8wjHWFDmg==" saltValue="7JD2R1qlEWjCbmRWz0KuW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dimension ref="B3:Y35"/>
  <sheetViews>
    <sheetView showGridLines="0" zoomScale="70" zoomScaleNormal="70" workbookViewId="0">
      <selection activeCell="AB8" sqref="AB8"/>
    </sheetView>
  </sheetViews>
  <sheetFormatPr defaultRowHeight="15" x14ac:dyDescent="0.25"/>
  <cols>
    <col min="2" max="9" width="11.5703125" customWidth="1"/>
    <col min="10" max="10" width="10.140625" customWidth="1"/>
    <col min="11" max="11" width="12" customWidth="1"/>
    <col min="12" max="12" width="12.140625" customWidth="1"/>
    <col min="13" max="13" width="14.85546875" customWidth="1"/>
    <col min="14" max="14" width="12.85546875" customWidth="1"/>
    <col min="16" max="16" width="10.140625" customWidth="1"/>
    <col min="17" max="17" width="9.140625" customWidth="1"/>
    <col min="18" max="18" width="12.42578125" customWidth="1"/>
  </cols>
  <sheetData>
    <row r="3" spans="2:25" ht="33.75" customHeight="1" x14ac:dyDescent="0.3">
      <c r="B3" s="5"/>
      <c r="C3" s="6" t="s">
        <v>77</v>
      </c>
      <c r="D3" s="7"/>
      <c r="E3" s="7"/>
      <c r="F3" s="7"/>
      <c r="G3" s="8"/>
      <c r="H3" s="1"/>
      <c r="I3" s="1"/>
      <c r="J3" s="1"/>
      <c r="K3" s="1"/>
      <c r="L3" s="1"/>
      <c r="M3" s="1"/>
      <c r="N3" s="1"/>
      <c r="O3" s="1"/>
      <c r="P3" s="1"/>
      <c r="Q3" s="1"/>
      <c r="R3" s="1"/>
      <c r="S3" s="1"/>
      <c r="T3" s="1"/>
      <c r="U3" s="1"/>
      <c r="V3" s="1"/>
      <c r="W3" s="1"/>
      <c r="X3" s="1"/>
      <c r="Y3" s="1"/>
    </row>
    <row r="4" spans="2:25" ht="36.75" customHeight="1" x14ac:dyDescent="0.3">
      <c r="B4" s="96" t="s">
        <v>78</v>
      </c>
      <c r="C4" s="97" t="s">
        <v>79</v>
      </c>
      <c r="D4" s="97" t="s">
        <v>80</v>
      </c>
      <c r="E4" s="97" t="s">
        <v>81</v>
      </c>
      <c r="F4" s="98" t="s">
        <v>82</v>
      </c>
      <c r="G4" s="99" t="s">
        <v>36</v>
      </c>
      <c r="H4" s="1"/>
      <c r="K4" s="95" t="s">
        <v>83</v>
      </c>
    </row>
    <row r="5" spans="2:25" ht="15.75" x14ac:dyDescent="0.3">
      <c r="B5" s="9">
        <f>'Energy Calculator'!B41</f>
        <v>0</v>
      </c>
      <c r="C5" s="10">
        <f>'Energy Calculator'!C22*Parameters!$C$10</f>
        <v>0</v>
      </c>
      <c r="D5" s="10">
        <f>'Energy Calculator'!E22*Parameters!$C$7*Parameters!$C$12</f>
        <v>0</v>
      </c>
      <c r="E5" s="10">
        <f>'Energy Calculator'!F22*Parameters!$C$6*Parameters!$C$11</f>
        <v>0</v>
      </c>
      <c r="F5" s="10">
        <f>'Energy Calculator'!G22*Parameters!$C$8*Parameters!$C$13</f>
        <v>0</v>
      </c>
      <c r="G5" s="14">
        <f t="shared" ref="G5:G17" si="0">SUM(C5:F5)</f>
        <v>0</v>
      </c>
      <c r="H5" s="1"/>
      <c r="K5" s="10" t="s">
        <v>50</v>
      </c>
    </row>
    <row r="6" spans="2:25" ht="15.75" x14ac:dyDescent="0.3">
      <c r="B6" s="9">
        <f>'Energy Calculator'!B42</f>
        <v>32</v>
      </c>
      <c r="C6" s="10">
        <f>'Energy Calculator'!C23*Parameters!$C$10</f>
        <v>0</v>
      </c>
      <c r="D6" s="10">
        <f>'Energy Calculator'!E23*Parameters!$C$7*Parameters!$C$12</f>
        <v>0</v>
      </c>
      <c r="E6" s="10">
        <f>'Energy Calculator'!F23*Parameters!$C$6*Parameters!$C$11</f>
        <v>0</v>
      </c>
      <c r="F6" s="10">
        <f>'Energy Calculator'!G23*Parameters!$C$8*Parameters!$C$13</f>
        <v>0</v>
      </c>
      <c r="G6" s="14">
        <f t="shared" si="0"/>
        <v>0</v>
      </c>
      <c r="H6" s="1"/>
      <c r="K6" s="10" t="s">
        <v>84</v>
      </c>
    </row>
    <row r="7" spans="2:25" ht="15.75" x14ac:dyDescent="0.3">
      <c r="B7" s="9">
        <f>'Energy Calculator'!B43</f>
        <v>61</v>
      </c>
      <c r="C7" s="10">
        <f>'Energy Calculator'!C24*Parameters!$C$10</f>
        <v>0</v>
      </c>
      <c r="D7" s="10">
        <f>'Energy Calculator'!E24*Parameters!$C$7*Parameters!$C$12</f>
        <v>0</v>
      </c>
      <c r="E7" s="10">
        <f>'Energy Calculator'!F24*Parameters!$C$6*Parameters!$C$11</f>
        <v>0</v>
      </c>
      <c r="F7" s="10">
        <f>'Energy Calculator'!G24*Parameters!$C$8*Parameters!$C$13</f>
        <v>0</v>
      </c>
      <c r="G7" s="14">
        <f t="shared" si="0"/>
        <v>0</v>
      </c>
      <c r="H7" s="1"/>
      <c r="K7" s="10" t="s">
        <v>85</v>
      </c>
    </row>
    <row r="8" spans="2:25" ht="15.75" x14ac:dyDescent="0.3">
      <c r="B8" s="9">
        <f>'Energy Calculator'!B44</f>
        <v>92</v>
      </c>
      <c r="C8" s="10">
        <f>'Energy Calculator'!C25*Parameters!$C$10</f>
        <v>0</v>
      </c>
      <c r="D8" s="10">
        <f>'Energy Calculator'!E25*Parameters!$C$7*Parameters!$C$12</f>
        <v>0</v>
      </c>
      <c r="E8" s="10">
        <f>'Energy Calculator'!F25*Parameters!$C$6*Parameters!$C$11</f>
        <v>0</v>
      </c>
      <c r="F8" s="10">
        <f>'Energy Calculator'!G25*Parameters!$C$8*Parameters!$C$13</f>
        <v>0</v>
      </c>
      <c r="G8" s="14">
        <f t="shared" si="0"/>
        <v>0</v>
      </c>
      <c r="H8" s="1"/>
      <c r="K8" s="10" t="s">
        <v>86</v>
      </c>
    </row>
    <row r="9" spans="2:25" ht="15.75" x14ac:dyDescent="0.3">
      <c r="B9" s="9">
        <f>'Energy Calculator'!B45</f>
        <v>122</v>
      </c>
      <c r="C9" s="10">
        <f>'Energy Calculator'!C26*Parameters!$C$10</f>
        <v>0</v>
      </c>
      <c r="D9" s="10">
        <f>'Energy Calculator'!E26*Parameters!$C$7*Parameters!$C$12</f>
        <v>0</v>
      </c>
      <c r="E9" s="10">
        <f>'Energy Calculator'!F26*Parameters!$C$6*Parameters!$C$11</f>
        <v>0</v>
      </c>
      <c r="F9" s="10">
        <f>'Energy Calculator'!G26*Parameters!$C$8*Parameters!$C$13</f>
        <v>0</v>
      </c>
      <c r="G9" s="14">
        <f t="shared" si="0"/>
        <v>0</v>
      </c>
      <c r="H9" s="1"/>
      <c r="K9" s="10" t="s">
        <v>87</v>
      </c>
    </row>
    <row r="10" spans="2:25" ht="15.75" x14ac:dyDescent="0.3">
      <c r="B10" s="9">
        <f>'Energy Calculator'!B46</f>
        <v>153</v>
      </c>
      <c r="C10" s="10">
        <f>'Energy Calculator'!C27*Parameters!$C$10</f>
        <v>0</v>
      </c>
      <c r="D10" s="10">
        <f>'Energy Calculator'!E27*Parameters!$C$7*Parameters!$C$12</f>
        <v>0</v>
      </c>
      <c r="E10" s="10">
        <f>'Energy Calculator'!F27*Parameters!$C$6*Parameters!$C$11</f>
        <v>0</v>
      </c>
      <c r="F10" s="10">
        <f>'Energy Calculator'!G27*Parameters!$C$8*Parameters!$C$13</f>
        <v>0</v>
      </c>
      <c r="G10" s="14">
        <f t="shared" si="0"/>
        <v>0</v>
      </c>
      <c r="H10" s="1"/>
      <c r="K10" s="10" t="s">
        <v>88</v>
      </c>
    </row>
    <row r="11" spans="2:25" ht="15.75" x14ac:dyDescent="0.3">
      <c r="B11" s="9">
        <f>'Energy Calculator'!B47</f>
        <v>183</v>
      </c>
      <c r="C11" s="10">
        <f>'Energy Calculator'!C28*Parameters!$C$10</f>
        <v>0</v>
      </c>
      <c r="D11" s="10">
        <f>'Energy Calculator'!E28*Parameters!$C$7*Parameters!$C$12</f>
        <v>0</v>
      </c>
      <c r="E11" s="10">
        <f>'Energy Calculator'!F28*Parameters!$C$6*Parameters!$C$11</f>
        <v>0</v>
      </c>
      <c r="F11" s="10">
        <f>'Energy Calculator'!G28*Parameters!$C$8*Parameters!$C$13</f>
        <v>0</v>
      </c>
      <c r="G11" s="14">
        <f t="shared" si="0"/>
        <v>0</v>
      </c>
      <c r="H11" s="1"/>
    </row>
    <row r="12" spans="2:25" ht="15.75" x14ac:dyDescent="0.3">
      <c r="B12" s="9">
        <f>'Energy Calculator'!B48</f>
        <v>214</v>
      </c>
      <c r="C12" s="10">
        <f>'Energy Calculator'!C29*Parameters!$C$10</f>
        <v>0</v>
      </c>
      <c r="D12" s="10">
        <f>'Energy Calculator'!E29*Parameters!$C$7*Parameters!$C$12</f>
        <v>0</v>
      </c>
      <c r="E12" s="10">
        <f>'Energy Calculator'!F29*Parameters!$C$6*Parameters!$C$11</f>
        <v>0</v>
      </c>
      <c r="F12" s="10">
        <f>'Energy Calculator'!G29*Parameters!$C$8*Parameters!$C$13</f>
        <v>0</v>
      </c>
      <c r="G12" s="14">
        <f t="shared" si="0"/>
        <v>0</v>
      </c>
      <c r="H12" s="1"/>
    </row>
    <row r="13" spans="2:25" ht="15.75" x14ac:dyDescent="0.3">
      <c r="B13" s="9">
        <f>'Energy Calculator'!B49</f>
        <v>245</v>
      </c>
      <c r="C13" s="10">
        <f>'Energy Calculator'!C30*Parameters!$C$10</f>
        <v>0</v>
      </c>
      <c r="D13" s="10">
        <f>'Energy Calculator'!E30*Parameters!$C$7*Parameters!$C$12</f>
        <v>0</v>
      </c>
      <c r="E13" s="10">
        <f>'Energy Calculator'!F30*Parameters!$C$6*Parameters!$C$11</f>
        <v>0</v>
      </c>
      <c r="F13" s="10">
        <f>'Energy Calculator'!G30*Parameters!$C$8*Parameters!$C$13</f>
        <v>0</v>
      </c>
      <c r="G13" s="14">
        <f t="shared" si="0"/>
        <v>0</v>
      </c>
      <c r="H13" s="1"/>
    </row>
    <row r="14" spans="2:25" ht="15.75" x14ac:dyDescent="0.3">
      <c r="B14" s="9">
        <f>'Energy Calculator'!B50</f>
        <v>275</v>
      </c>
      <c r="C14" s="10">
        <f>'Energy Calculator'!C31*Parameters!$C$10</f>
        <v>0</v>
      </c>
      <c r="D14" s="10">
        <f>'Energy Calculator'!E31*Parameters!$C$7*Parameters!$C$12</f>
        <v>0</v>
      </c>
      <c r="E14" s="10">
        <f>'Energy Calculator'!F31*Parameters!$C$6*Parameters!$C$11</f>
        <v>0</v>
      </c>
      <c r="F14" s="10">
        <f>'Energy Calculator'!G31*Parameters!$C$8*Parameters!$C$13</f>
        <v>0</v>
      </c>
      <c r="G14" s="14">
        <f t="shared" si="0"/>
        <v>0</v>
      </c>
      <c r="H14" s="1"/>
    </row>
    <row r="15" spans="2:25" ht="15.75" x14ac:dyDescent="0.3">
      <c r="B15" s="9">
        <f>'Energy Calculator'!B51</f>
        <v>306</v>
      </c>
      <c r="C15" s="10">
        <f>'Energy Calculator'!C32*Parameters!$C$10</f>
        <v>0</v>
      </c>
      <c r="D15" s="10">
        <f>'Energy Calculator'!E32*Parameters!$C$7*Parameters!$C$12</f>
        <v>0</v>
      </c>
      <c r="E15" s="10">
        <f>'Energy Calculator'!F32*Parameters!$C$6*Parameters!$C$11</f>
        <v>0</v>
      </c>
      <c r="F15" s="10">
        <f>'Energy Calculator'!G32*Parameters!$C$8*Parameters!$C$13</f>
        <v>0</v>
      </c>
      <c r="G15" s="14">
        <f t="shared" si="0"/>
        <v>0</v>
      </c>
      <c r="H15" s="1"/>
    </row>
    <row r="16" spans="2:25" ht="15.75" x14ac:dyDescent="0.3">
      <c r="B16" s="9">
        <f>'Energy Calculator'!B52</f>
        <v>336</v>
      </c>
      <c r="C16" s="10">
        <f>'Energy Calculator'!C33*Parameters!$C$10</f>
        <v>0</v>
      </c>
      <c r="D16" s="10">
        <f>'Energy Calculator'!E33*Parameters!$C$7*Parameters!$C$12</f>
        <v>0</v>
      </c>
      <c r="E16" s="10">
        <f>'Energy Calculator'!F33*Parameters!$C$6*Parameters!$C$11</f>
        <v>0</v>
      </c>
      <c r="F16" s="10">
        <f>'Energy Calculator'!G33*Parameters!$C$8*Parameters!$C$13</f>
        <v>0</v>
      </c>
      <c r="G16" s="14">
        <f t="shared" si="0"/>
        <v>0</v>
      </c>
      <c r="H16" s="1"/>
    </row>
    <row r="17" spans="2:25" ht="15.75" x14ac:dyDescent="0.3">
      <c r="B17" s="12" t="s">
        <v>36</v>
      </c>
      <c r="C17" s="13">
        <f t="shared" ref="C17:F17" si="1">SUM(C5:C16)</f>
        <v>0</v>
      </c>
      <c r="D17" s="13">
        <f t="shared" si="1"/>
        <v>0</v>
      </c>
      <c r="E17" s="13">
        <f t="shared" si="1"/>
        <v>0</v>
      </c>
      <c r="F17" s="13">
        <f t="shared" si="1"/>
        <v>0</v>
      </c>
      <c r="G17" s="14">
        <f t="shared" si="0"/>
        <v>0</v>
      </c>
      <c r="H17" s="4"/>
      <c r="I17" s="1"/>
      <c r="J17" s="1"/>
      <c r="K17" s="1"/>
      <c r="L17" s="1"/>
      <c r="M17" s="1"/>
      <c r="N17" s="1"/>
      <c r="O17" s="1"/>
      <c r="P17" s="1"/>
      <c r="Q17" s="1"/>
      <c r="R17" s="1"/>
      <c r="S17" s="1"/>
      <c r="T17" s="1"/>
      <c r="U17" s="1"/>
      <c r="V17" s="1"/>
      <c r="W17" s="1"/>
      <c r="X17" s="1"/>
      <c r="Y17" s="1"/>
    </row>
    <row r="18" spans="2:25" ht="15.75" x14ac:dyDescent="0.3">
      <c r="B18" s="15"/>
      <c r="C18" s="16">
        <f>IFERROR(C17/$G$17,0)</f>
        <v>0</v>
      </c>
      <c r="D18" s="16">
        <f>IFERROR(D17/$G$17,0)</f>
        <v>0</v>
      </c>
      <c r="E18" s="16">
        <f>IFERROR(E17/$G$17,0)</f>
        <v>0</v>
      </c>
      <c r="F18" s="16">
        <f>IFERROR(F17/$G$17,0)</f>
        <v>0</v>
      </c>
      <c r="G18" s="11"/>
      <c r="H18" s="1"/>
      <c r="I18" s="1"/>
      <c r="J18" s="1"/>
      <c r="K18" s="1"/>
      <c r="L18" s="1"/>
      <c r="M18" s="1"/>
      <c r="N18" s="1"/>
      <c r="O18" s="1"/>
      <c r="P18" s="1"/>
      <c r="Q18" s="1"/>
      <c r="R18" s="1"/>
      <c r="S18" s="1"/>
      <c r="T18" s="1"/>
      <c r="U18" s="1"/>
      <c r="V18" s="1"/>
      <c r="W18" s="1"/>
      <c r="X18" s="1"/>
      <c r="Y18" s="1"/>
    </row>
    <row r="19" spans="2:25" ht="15.75" x14ac:dyDescent="0.3">
      <c r="B19" s="17"/>
      <c r="C19" s="18" t="str">
        <f>IF(C18&lt;0.5%,"",C17)</f>
        <v/>
      </c>
      <c r="D19" s="18" t="str">
        <f t="shared" ref="D19:F19" si="2">IF(D18&lt;0.5%,"",D17)</f>
        <v/>
      </c>
      <c r="E19" s="18" t="str">
        <f t="shared" si="2"/>
        <v/>
      </c>
      <c r="F19" s="18" t="str">
        <f t="shared" si="2"/>
        <v/>
      </c>
      <c r="G19" s="19"/>
      <c r="H19" s="1"/>
      <c r="I19" s="1"/>
      <c r="J19" s="1"/>
      <c r="K19" s="1"/>
      <c r="L19" s="1"/>
      <c r="M19" s="1"/>
      <c r="N19" s="1"/>
      <c r="O19" s="1"/>
      <c r="P19" s="1"/>
      <c r="Q19" s="1"/>
      <c r="R19" s="1"/>
      <c r="S19" s="1"/>
      <c r="T19" s="1"/>
      <c r="U19" s="1"/>
      <c r="V19" s="1"/>
      <c r="W19" s="1"/>
      <c r="X19" s="1"/>
      <c r="Y19" s="1"/>
    </row>
    <row r="22" spans="2:25" ht="39" customHeight="1" x14ac:dyDescent="0.25">
      <c r="B22" s="20" t="s">
        <v>78</v>
      </c>
      <c r="C22" s="21" t="s">
        <v>89</v>
      </c>
      <c r="D22" s="21" t="s">
        <v>90</v>
      </c>
      <c r="E22" s="22" t="s">
        <v>91</v>
      </c>
      <c r="F22" s="22" t="s">
        <v>37</v>
      </c>
      <c r="G22" s="22" t="s">
        <v>92</v>
      </c>
      <c r="H22" s="22" t="s">
        <v>93</v>
      </c>
      <c r="I22" s="22" t="s">
        <v>94</v>
      </c>
      <c r="J22" s="22" t="s">
        <v>95</v>
      </c>
      <c r="K22" s="22" t="s">
        <v>96</v>
      </c>
      <c r="L22" s="22" t="s">
        <v>97</v>
      </c>
      <c r="M22" s="22" t="s">
        <v>98</v>
      </c>
      <c r="N22" s="22" t="s">
        <v>99</v>
      </c>
      <c r="O22" s="22" t="s">
        <v>100</v>
      </c>
      <c r="P22" s="22" t="s">
        <v>101</v>
      </c>
      <c r="Q22" s="22" t="s">
        <v>102</v>
      </c>
      <c r="R22" s="23" t="s">
        <v>103</v>
      </c>
    </row>
    <row r="23" spans="2:25" ht="15.75" x14ac:dyDescent="0.3">
      <c r="B23" s="24">
        <f>'Energy Calculator'!B41</f>
        <v>0</v>
      </c>
      <c r="C23" s="25">
        <f>_xlfn.XLOOKUP('Energy Calculator'!$E$12,$D$22:$R$22,D23:R23)</f>
        <v>16.139086021505378</v>
      </c>
      <c r="D23" s="25">
        <v>18.135483870967743</v>
      </c>
      <c r="E23" s="26">
        <v>18.408064516128999</v>
      </c>
      <c r="F23" s="26">
        <v>16.139086021505378</v>
      </c>
      <c r="G23" s="26">
        <v>17.782069892473121</v>
      </c>
      <c r="H23" s="26">
        <v>19.885483870967743</v>
      </c>
      <c r="I23" s="26">
        <v>19.710483870967739</v>
      </c>
      <c r="J23" s="26">
        <v>19.152225806451611</v>
      </c>
      <c r="K23" s="26">
        <v>18.372632091212456</v>
      </c>
      <c r="L23" s="26">
        <v>19.652419354838713</v>
      </c>
      <c r="M23" s="26">
        <v>18.045161290322579</v>
      </c>
      <c r="N23" s="26">
        <v>17.948387096774194</v>
      </c>
      <c r="O23" s="26">
        <v>19.283064516129034</v>
      </c>
      <c r="P23" s="26">
        <v>18.983252688172044</v>
      </c>
      <c r="Q23" s="26">
        <v>18.321774193548386</v>
      </c>
      <c r="R23" s="27">
        <v>15.398387096774194</v>
      </c>
    </row>
    <row r="24" spans="2:25" ht="15.75" x14ac:dyDescent="0.3">
      <c r="B24" s="24">
        <f>'Energy Calculator'!B42</f>
        <v>32</v>
      </c>
      <c r="C24" s="25">
        <f>_xlfn.XLOOKUP('Energy Calculator'!$E$12,$D$22:$R$22,D24:R24)</f>
        <v>15.966435185185185</v>
      </c>
      <c r="D24" s="25">
        <v>18.625584975369456</v>
      </c>
      <c r="E24" s="26">
        <v>18.124445812807885</v>
      </c>
      <c r="F24" s="26">
        <v>15.966435185185185</v>
      </c>
      <c r="G24" s="26">
        <v>18.087161330049259</v>
      </c>
      <c r="H24" s="26">
        <v>20.308774630541873</v>
      </c>
      <c r="I24" s="26">
        <v>20.256003694581281</v>
      </c>
      <c r="J24" s="26">
        <v>19.538679280489625</v>
      </c>
      <c r="K24" s="26">
        <v>18.523447802197804</v>
      </c>
      <c r="L24" s="26">
        <v>19.803062853493891</v>
      </c>
      <c r="M24" s="26">
        <v>17.662130541871917</v>
      </c>
      <c r="N24" s="26">
        <v>18.526169950738918</v>
      </c>
      <c r="O24" s="26">
        <v>19.891861658456488</v>
      </c>
      <c r="P24" s="26">
        <v>19.791871921182267</v>
      </c>
      <c r="Q24" s="26">
        <v>18.516502463054188</v>
      </c>
      <c r="R24" s="27">
        <v>15.192703201970446</v>
      </c>
    </row>
    <row r="25" spans="2:25" ht="15.75" x14ac:dyDescent="0.3">
      <c r="B25" s="24">
        <f>'Energy Calculator'!B43</f>
        <v>61</v>
      </c>
      <c r="C25" s="25">
        <f>_xlfn.XLOOKUP('Energy Calculator'!$E$12,$D$22:$R$22,D25:R25)</f>
        <v>14.112096774193549</v>
      </c>
      <c r="D25" s="25">
        <v>16.317741935483873</v>
      </c>
      <c r="E25" s="26">
        <v>14.97258064516129</v>
      </c>
      <c r="F25" s="26">
        <v>14.112096774193549</v>
      </c>
      <c r="G25" s="26">
        <v>15.754838709677419</v>
      </c>
      <c r="H25" s="26">
        <v>18.603225806451611</v>
      </c>
      <c r="I25" s="26">
        <v>18.124193548387098</v>
      </c>
      <c r="J25" s="26">
        <v>16.874581839904419</v>
      </c>
      <c r="K25" s="26">
        <v>16.394688542825364</v>
      </c>
      <c r="L25" s="26">
        <v>17.781451612903226</v>
      </c>
      <c r="M25" s="26">
        <v>15.257768817204303</v>
      </c>
      <c r="N25" s="26">
        <v>16.269354838709678</v>
      </c>
      <c r="O25" s="26">
        <v>18.339751344086025</v>
      </c>
      <c r="P25" s="26">
        <v>17.250806451612902</v>
      </c>
      <c r="Q25" s="26">
        <v>17.062903225806451</v>
      </c>
      <c r="R25" s="27">
        <v>13.502419354838713</v>
      </c>
    </row>
    <row r="26" spans="2:25" ht="15.75" x14ac:dyDescent="0.3">
      <c r="B26" s="24">
        <f>'Energy Calculator'!B44</f>
        <v>92</v>
      </c>
      <c r="C26" s="25">
        <f>_xlfn.XLOOKUP('Energy Calculator'!$E$12,$D$22:$R$22,D26:R26)</f>
        <v>11.672499999999999</v>
      </c>
      <c r="D26" s="25">
        <v>14.906025641025639</v>
      </c>
      <c r="E26" s="26">
        <v>11.15833333333333</v>
      </c>
      <c r="F26" s="26">
        <v>11.672499999999999</v>
      </c>
      <c r="G26" s="26">
        <v>13.819166666666666</v>
      </c>
      <c r="H26" s="26">
        <v>17.220833333333331</v>
      </c>
      <c r="I26" s="26">
        <v>16.325833333333335</v>
      </c>
      <c r="J26" s="26">
        <v>15.389880952380953</v>
      </c>
      <c r="K26" s="26">
        <v>13.857592592592592</v>
      </c>
      <c r="L26" s="26">
        <v>16.10890804597701</v>
      </c>
      <c r="M26" s="26">
        <v>13.498055555555554</v>
      </c>
      <c r="N26" s="26">
        <v>14.01166666666667</v>
      </c>
      <c r="O26" s="26">
        <v>16.664511494252874</v>
      </c>
      <c r="P26" s="26">
        <v>15.131982758620689</v>
      </c>
      <c r="Q26" s="26">
        <v>15.356011904761903</v>
      </c>
      <c r="R26" s="27">
        <v>11.418678160919541</v>
      </c>
    </row>
    <row r="27" spans="2:25" ht="15.75" x14ac:dyDescent="0.3">
      <c r="B27" s="24">
        <f>'Energy Calculator'!B45</f>
        <v>122</v>
      </c>
      <c r="C27" s="25">
        <f>_xlfn.XLOOKUP('Energy Calculator'!$E$12,$D$22:$R$22,D27:R27)</f>
        <v>9.0008064516129025</v>
      </c>
      <c r="D27" s="25">
        <v>13.005334987593052</v>
      </c>
      <c r="E27" s="26">
        <v>8.3880376344086027</v>
      </c>
      <c r="F27" s="26">
        <v>9.0008064516129025</v>
      </c>
      <c r="G27" s="26">
        <v>11.350031516499813</v>
      </c>
      <c r="H27" s="26">
        <v>15.101612903225803</v>
      </c>
      <c r="I27" s="26">
        <v>13.799193548387098</v>
      </c>
      <c r="J27" s="26">
        <v>12.619804147465437</v>
      </c>
      <c r="K27" s="26">
        <v>11.534224565756826</v>
      </c>
      <c r="L27" s="26">
        <v>13.573879310344829</v>
      </c>
      <c r="M27" s="26">
        <v>11.402299880525687</v>
      </c>
      <c r="N27" s="26">
        <v>11.742400744416873</v>
      </c>
      <c r="O27" s="26">
        <v>14.246559139784948</v>
      </c>
      <c r="P27" s="26">
        <v>12.455510752688172</v>
      </c>
      <c r="Q27" s="26">
        <v>13.492908787541714</v>
      </c>
      <c r="R27" s="27">
        <v>8.9955069124423961</v>
      </c>
    </row>
    <row r="28" spans="2:25" ht="15.75" x14ac:dyDescent="0.3">
      <c r="B28" s="24">
        <f>'Energy Calculator'!B46</f>
        <v>153</v>
      </c>
      <c r="C28" s="25">
        <f>_xlfn.XLOOKUP('Energy Calculator'!$E$12,$D$22:$R$22,D28:R28)</f>
        <v>6.5908333333333342</v>
      </c>
      <c r="D28" s="25">
        <v>11.543586956521739</v>
      </c>
      <c r="E28" s="26">
        <v>5.077628205128204</v>
      </c>
      <c r="F28" s="26">
        <v>6.5908333333333342</v>
      </c>
      <c r="G28" s="26">
        <v>9.1966666666666654</v>
      </c>
      <c r="H28" s="26">
        <v>13.136666666666667</v>
      </c>
      <c r="I28" s="26">
        <v>12.36301724137931</v>
      </c>
      <c r="J28" s="26">
        <v>11.088261494252873</v>
      </c>
      <c r="K28" s="26">
        <v>10.025833333333335</v>
      </c>
      <c r="L28" s="26">
        <v>11.782550287356319</v>
      </c>
      <c r="M28" s="26">
        <v>8.4941666666666684</v>
      </c>
      <c r="N28" s="26">
        <v>10.015000000000001</v>
      </c>
      <c r="O28" s="26">
        <v>12.419761904761904</v>
      </c>
      <c r="P28" s="26">
        <v>10.861810344827585</v>
      </c>
      <c r="Q28" s="26">
        <v>11.990000000000002</v>
      </c>
      <c r="R28" s="27">
        <v>6.137407407407407</v>
      </c>
    </row>
    <row r="29" spans="2:25" ht="15.75" x14ac:dyDescent="0.3">
      <c r="B29" s="24">
        <f>'Energy Calculator'!B47</f>
        <v>183</v>
      </c>
      <c r="C29" s="25">
        <f>_xlfn.XLOOKUP('Energy Calculator'!$E$12,$D$22:$R$22,D29:R29)</f>
        <v>5.69758064516129</v>
      </c>
      <c r="D29" s="25">
        <v>9.7086206896551719</v>
      </c>
      <c r="E29" s="26">
        <v>4.3282258064516128</v>
      </c>
      <c r="F29" s="26">
        <v>5.69758064516129</v>
      </c>
      <c r="G29" s="26">
        <v>8.0403225806451601</v>
      </c>
      <c r="H29" s="26">
        <v>12.566129032258063</v>
      </c>
      <c r="I29" s="26">
        <v>10.696155913978494</v>
      </c>
      <c r="J29" s="26">
        <v>9.336557484506594</v>
      </c>
      <c r="K29" s="26">
        <v>8.3391958142792397</v>
      </c>
      <c r="L29" s="26">
        <v>10.535708194289951</v>
      </c>
      <c r="M29" s="26">
        <v>7.5614784946236551</v>
      </c>
      <c r="N29" s="26">
        <v>8.4653225806451591</v>
      </c>
      <c r="O29" s="26">
        <v>11.25483870967742</v>
      </c>
      <c r="P29" s="26">
        <v>9.7643010752688184</v>
      </c>
      <c r="Q29" s="26">
        <v>10.750806451612902</v>
      </c>
      <c r="R29" s="27">
        <v>5.9286827956989248</v>
      </c>
    </row>
    <row r="30" spans="2:25" ht="15.75" x14ac:dyDescent="0.3">
      <c r="B30" s="24">
        <f>'Energy Calculator'!B48</f>
        <v>214</v>
      </c>
      <c r="C30" s="25">
        <f>_xlfn.XLOOKUP('Energy Calculator'!$E$12,$D$22:$R$22,D30:R30)</f>
        <v>7.2612903225806456</v>
      </c>
      <c r="D30" s="25">
        <v>9.9870967741935477</v>
      </c>
      <c r="E30" s="26">
        <v>6.745967741935484</v>
      </c>
      <c r="F30" s="26">
        <v>7.2612903225806456</v>
      </c>
      <c r="G30" s="26">
        <v>8.9176075268817208</v>
      </c>
      <c r="H30" s="26">
        <v>12.541881720430109</v>
      </c>
      <c r="I30" s="26">
        <v>10.691935483870969</v>
      </c>
      <c r="J30" s="26">
        <v>9.8020856507230256</v>
      </c>
      <c r="K30" s="26">
        <v>8.7730520353302612</v>
      </c>
      <c r="L30" s="26">
        <v>10.807258064516128</v>
      </c>
      <c r="M30" s="26">
        <v>8.9766993087557605</v>
      </c>
      <c r="N30" s="26">
        <v>8.986290322580647</v>
      </c>
      <c r="O30" s="26">
        <v>11.054193548387095</v>
      </c>
      <c r="P30" s="26">
        <v>9.8270161290322591</v>
      </c>
      <c r="Q30" s="26">
        <v>10.573844086021506</v>
      </c>
      <c r="R30" s="27">
        <v>7.2442473118279569</v>
      </c>
    </row>
    <row r="31" spans="2:25" ht="15.75" x14ac:dyDescent="0.3">
      <c r="B31" s="24">
        <f>'Energy Calculator'!B49</f>
        <v>245</v>
      </c>
      <c r="C31" s="25">
        <f>_xlfn.XLOOKUP('Energy Calculator'!$E$12,$D$22:$R$22,D31:R31)</f>
        <v>9.18</v>
      </c>
      <c r="D31" s="25">
        <v>11.694022988505747</v>
      </c>
      <c r="E31" s="26">
        <v>9.4025020525451559</v>
      </c>
      <c r="F31" s="26">
        <v>9.18</v>
      </c>
      <c r="G31" s="26">
        <v>11.057557471264367</v>
      </c>
      <c r="H31" s="26">
        <v>13.722586206896548</v>
      </c>
      <c r="I31" s="26">
        <v>12.64666666666667</v>
      </c>
      <c r="J31" s="26">
        <v>12.310217569786538</v>
      </c>
      <c r="K31" s="26">
        <v>11.179048132183908</v>
      </c>
      <c r="L31" s="26">
        <v>12.576839080459772</v>
      </c>
      <c r="M31" s="26">
        <v>10.542314814814816</v>
      </c>
      <c r="N31" s="26">
        <v>11.073782051282052</v>
      </c>
      <c r="O31" s="26">
        <v>12.387916666666667</v>
      </c>
      <c r="P31" s="26">
        <v>11.695373563218391</v>
      </c>
      <c r="Q31" s="26">
        <v>11.869166666666665</v>
      </c>
      <c r="R31" s="27">
        <v>8.9973850574712628</v>
      </c>
    </row>
    <row r="32" spans="2:25" ht="15.75" x14ac:dyDescent="0.3">
      <c r="B32" s="24">
        <f>'Energy Calculator'!B50</f>
        <v>275</v>
      </c>
      <c r="C32" s="25">
        <f>_xlfn.XLOOKUP('Energy Calculator'!$E$12,$D$22:$R$22,D32:R32)</f>
        <v>10.720967741935484</v>
      </c>
      <c r="D32" s="25">
        <v>13.103380893300248</v>
      </c>
      <c r="E32" s="26">
        <v>11.854032258064516</v>
      </c>
      <c r="F32" s="26">
        <v>10.720967741935484</v>
      </c>
      <c r="G32" s="26">
        <v>12.712903225806452</v>
      </c>
      <c r="H32" s="26">
        <v>15.279838709677417</v>
      </c>
      <c r="I32" s="26">
        <v>14.709677419354838</v>
      </c>
      <c r="J32" s="26">
        <v>14.017914746543779</v>
      </c>
      <c r="K32" s="26">
        <v>12.606163594470045</v>
      </c>
      <c r="L32" s="26">
        <v>14.589516129032258</v>
      </c>
      <c r="M32" s="26">
        <v>12.089890552995392</v>
      </c>
      <c r="N32" s="26">
        <v>12.746854838709675</v>
      </c>
      <c r="O32" s="26">
        <v>14.178168202764979</v>
      </c>
      <c r="P32" s="26">
        <v>13.915752688172043</v>
      </c>
      <c r="Q32" s="26">
        <v>13.280403225806449</v>
      </c>
      <c r="R32" s="27">
        <v>10.777836021505376</v>
      </c>
    </row>
    <row r="33" spans="2:18" ht="15.75" x14ac:dyDescent="0.3">
      <c r="B33" s="24">
        <f>'Energy Calculator'!B51</f>
        <v>306</v>
      </c>
      <c r="C33" s="25">
        <f>_xlfn.XLOOKUP('Energy Calculator'!$E$12,$D$22:$R$22,D33:R33)</f>
        <v>13.233793103448274</v>
      </c>
      <c r="D33" s="25">
        <v>15.687870370370367</v>
      </c>
      <c r="E33" s="26">
        <v>14.727499999999999</v>
      </c>
      <c r="F33" s="26">
        <v>13.233793103448274</v>
      </c>
      <c r="G33" s="26">
        <v>15.362298850574712</v>
      </c>
      <c r="H33" s="26">
        <v>17.169166666666669</v>
      </c>
      <c r="I33" s="26">
        <v>17.244166666666668</v>
      </c>
      <c r="J33" s="26">
        <v>16.926321611019887</v>
      </c>
      <c r="K33" s="26">
        <v>15.661279761904764</v>
      </c>
      <c r="L33" s="26">
        <v>17</v>
      </c>
      <c r="M33" s="26">
        <v>14.630357142857147</v>
      </c>
      <c r="N33" s="26">
        <v>15.583362068965517</v>
      </c>
      <c r="O33" s="26">
        <v>16.05952380952381</v>
      </c>
      <c r="P33" s="26">
        <v>16.251235632183906</v>
      </c>
      <c r="Q33" s="26">
        <v>15.612499999999999</v>
      </c>
      <c r="R33" s="27">
        <v>12.633145525451562</v>
      </c>
    </row>
    <row r="34" spans="2:18" ht="15.75" x14ac:dyDescent="0.3">
      <c r="B34" s="24">
        <f>'Energy Calculator'!B52</f>
        <v>336</v>
      </c>
      <c r="C34" s="25">
        <f>_xlfn.XLOOKUP('Energy Calculator'!$E$12,$D$22:$R$22,D34:R34)</f>
        <v>14.899193548387096</v>
      </c>
      <c r="D34" s="25">
        <v>17.357352941176469</v>
      </c>
      <c r="E34" s="26">
        <v>17.046140552995393</v>
      </c>
      <c r="F34" s="26">
        <v>14.899193548387096</v>
      </c>
      <c r="G34" s="26">
        <v>17.050725806451613</v>
      </c>
      <c r="H34" s="26">
        <v>19.211290322580645</v>
      </c>
      <c r="I34" s="26">
        <v>19.284198588709678</v>
      </c>
      <c r="J34" s="26">
        <v>18.793677233963663</v>
      </c>
      <c r="K34" s="26">
        <v>18.024837614644589</v>
      </c>
      <c r="L34" s="26">
        <v>18.993654499151102</v>
      </c>
      <c r="M34" s="26">
        <v>16.384705228031144</v>
      </c>
      <c r="N34" s="26">
        <v>17.493471130387636</v>
      </c>
      <c r="O34" s="26">
        <v>18.566177681525463</v>
      </c>
      <c r="P34" s="26">
        <v>18.174193548387095</v>
      </c>
      <c r="Q34" s="26">
        <v>17.516129032258068</v>
      </c>
      <c r="R34" s="27">
        <v>14.050940096529814</v>
      </c>
    </row>
    <row r="35" spans="2:18" ht="15.75" x14ac:dyDescent="0.3">
      <c r="B35" s="17"/>
      <c r="C35" s="28">
        <f>AVERAGE(C23:C34)</f>
        <v>11.206215260611929</v>
      </c>
      <c r="D35" s="28">
        <f>AVERAGE(D23:D34)</f>
        <v>14.172675252013589</v>
      </c>
      <c r="E35" s="28">
        <f>AVERAGE(E23:E34)</f>
        <v>11.68612154658004</v>
      </c>
      <c r="F35" s="28">
        <f t="shared" ref="F35:R35" si="3">AVERAGE(F23:F34)</f>
        <v>11.206215260611929</v>
      </c>
      <c r="G35" s="28">
        <f t="shared" si="3"/>
        <v>13.260945853638082</v>
      </c>
      <c r="H35" s="28">
        <f t="shared" si="3"/>
        <v>16.228957489141372</v>
      </c>
      <c r="I35" s="28">
        <f t="shared" si="3"/>
        <v>15.487627164690265</v>
      </c>
      <c r="J35" s="28">
        <f t="shared" si="3"/>
        <v>14.6541839847907</v>
      </c>
      <c r="K35" s="28">
        <f t="shared" si="3"/>
        <v>13.607666323394264</v>
      </c>
      <c r="L35" s="28">
        <f t="shared" si="3"/>
        <v>15.267103952696933</v>
      </c>
      <c r="M35" s="28">
        <f t="shared" si="3"/>
        <v>12.878752357852052</v>
      </c>
      <c r="N35" s="28">
        <f t="shared" si="3"/>
        <v>13.571838524156419</v>
      </c>
      <c r="O35" s="28">
        <f t="shared" si="3"/>
        <v>15.362194056334724</v>
      </c>
      <c r="P35" s="28">
        <f t="shared" si="3"/>
        <v>14.508592296113852</v>
      </c>
      <c r="Q35" s="28">
        <f t="shared" si="3"/>
        <v>14.528579169756521</v>
      </c>
      <c r="R35" s="29">
        <f t="shared" si="3"/>
        <v>10.856444911903134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xsi:nil="true"/>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ErreyIeep</DisplayName>
        <AccountId>155</AccountId>
        <AccountType/>
      </UserInfo>
    </AccountManager>
  </documentManagement>
</p:properties>
</file>

<file path=customXml/itemProps1.xml><?xml version="1.0" encoding="utf-8"?>
<ds:datastoreItem xmlns:ds="http://schemas.openxmlformats.org/officeDocument/2006/customXml" ds:itemID="{F29921A5-E182-490B-BE28-974025F2B853}">
  <ds:schemaRefs>
    <ds:schemaRef ds:uri="http://schemas.microsoft.com/DataMashup"/>
  </ds:schemaRefs>
</ds:datastoreItem>
</file>

<file path=customXml/itemProps2.xml><?xml version="1.0" encoding="utf-8"?>
<ds:datastoreItem xmlns:ds="http://schemas.openxmlformats.org/officeDocument/2006/customXml" ds:itemID="{24CAE5BD-E222-4AF1-9D76-99EA36DD2C5D}">
  <ds:schemaRefs>
    <ds:schemaRef ds:uri="http://schemas.microsoft.com/sharepoint/v3/contenttype/forms"/>
  </ds:schemaRefs>
</ds:datastoreItem>
</file>

<file path=customXml/itemProps3.xml><?xml version="1.0" encoding="utf-8"?>
<ds:datastoreItem xmlns:ds="http://schemas.openxmlformats.org/officeDocument/2006/customXml" ds:itemID="{895804DB-01BF-49BA-8013-8C1ED5301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376270d6-e0e1-44d9-9147-71125ac31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E9FFBF-493A-45D8-8A4F-CA6B576C0C18}">
  <ds:schemaRefs>
    <ds:schemaRef ds:uri="http://schemas.microsoft.com/office/2006/metadata/properties"/>
    <ds:schemaRef ds:uri="http://schemas.microsoft.com/office/infopath/2007/PartnerControls"/>
    <ds:schemaRef ds:uri="376270d6-e0e1-44d9-9147-71125ac31554"/>
    <ds:schemaRef ds:uri="21524e96-ec98-4da0-a122-419156e7d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Energy Calculator</vt:lpstr>
      <vt:lpstr>Summary Graphs</vt:lpstr>
      <vt:lpstr>Parameters</vt:lpstr>
      <vt:lpstr>Example</vt:lpstr>
      <vt:lpstr>Background Calcs</vt:lpstr>
      <vt:lpstr>Electricity__kWh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Julie Coyne</cp:lastModifiedBy>
  <cp:revision/>
  <dcterms:created xsi:type="dcterms:W3CDTF">2015-06-05T18:17:20Z</dcterms:created>
  <dcterms:modified xsi:type="dcterms:W3CDTF">2024-11-03T22:56:01Z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
  </property>
</Properties>
</file>