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eecagovtnz.sharepoint.com/sites/Business/SP/Poultry/"/>
    </mc:Choice>
  </mc:AlternateContent>
  <xr:revisionPtr revIDLastSave="0" documentId="8_{C990D1BA-2935-413E-863B-7C19CC9B4958}" xr6:coauthVersionLast="47" xr6:coauthVersionMax="47" xr10:uidLastSave="{00000000-0000-0000-0000-000000000000}"/>
  <workbookProtection workbookAlgorithmName="SHA-512" workbookHashValue="hQi/7ROZ0sRr/Rh49NtXueFFYrq7EcD/0Hjle1fWHodmFb1M5zDLRWdE3U+zK0mNcM9ppp+LAkndyNfbXnTJNA==" workbookSaltValue="YupPV1dy40uB0Q8Mxc3TBQ==" workbookSpinCount="100000" lockStructure="1"/>
  <bookViews>
    <workbookView xWindow="-120" yWindow="-120" windowWidth="51840" windowHeight="21120" firstSheet="1" activeTab="1" xr2:uid="{B5F471FE-ED72-44AC-A853-E068A8A91250}"/>
  </bookViews>
  <sheets>
    <sheet name="Introduction" sheetId="12" r:id="rId1"/>
    <sheet name="Energy Calculator" sheetId="1" r:id="rId2"/>
    <sheet name="Summary Graphs" sheetId="5" r:id="rId3"/>
    <sheet name="Parameters" sheetId="4" r:id="rId4"/>
    <sheet name="Example" sheetId="11" r:id="rId5"/>
    <sheet name="Background Calcs" sheetId="10" state="hidden" r:id="rId6"/>
  </sheets>
  <definedNames>
    <definedName name="_xlnm._FilterDatabase" localSheetId="1" hidden="1">'Energy Calculator'!#REF!</definedName>
    <definedName name="Electricity__kWh">'Energy Calculator'!$C$22:$C$33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1" l="1"/>
  <c r="K40" i="1"/>
  <c r="G19" i="10"/>
  <c r="H23" i="1"/>
  <c r="F6" i="10"/>
  <c r="F7" i="10"/>
  <c r="F8" i="10"/>
  <c r="F9" i="10"/>
  <c r="F10" i="10"/>
  <c r="F11" i="10"/>
  <c r="F12" i="10"/>
  <c r="F13" i="10"/>
  <c r="F14" i="10"/>
  <c r="F15" i="10"/>
  <c r="F16" i="10"/>
  <c r="F5" i="10"/>
  <c r="F17" i="10" s="1"/>
  <c r="D5" i="10"/>
  <c r="D41" i="1"/>
  <c r="D42" i="1"/>
  <c r="K34" i="1"/>
  <c r="L34" i="1"/>
  <c r="M34" i="1"/>
  <c r="D34" i="1"/>
  <c r="E34" i="1"/>
  <c r="F34" i="1"/>
  <c r="G34" i="1"/>
  <c r="B1" i="5"/>
  <c r="B1" i="1"/>
  <c r="K12" i="1" l="1"/>
  <c r="N23" i="1"/>
  <c r="K42" i="1" s="1"/>
  <c r="N24" i="1"/>
  <c r="K43" i="1" s="1"/>
  <c r="N25" i="1"/>
  <c r="K44" i="1" s="1"/>
  <c r="N26" i="1"/>
  <c r="K45" i="1" s="1"/>
  <c r="N27" i="1"/>
  <c r="K46" i="1" s="1"/>
  <c r="N28" i="1"/>
  <c r="K47" i="1" s="1"/>
  <c r="N29" i="1"/>
  <c r="N30" i="1"/>
  <c r="K49" i="1" s="1"/>
  <c r="N31" i="1"/>
  <c r="K50" i="1" s="1"/>
  <c r="N32" i="1"/>
  <c r="K51" i="1" s="1"/>
  <c r="N33" i="1"/>
  <c r="K52" i="1" s="1"/>
  <c r="N22" i="1"/>
  <c r="J34" i="1"/>
  <c r="O40" i="1"/>
  <c r="M42" i="1"/>
  <c r="C23" i="10"/>
  <c r="J48" i="1" l="1"/>
  <c r="K48" i="1"/>
  <c r="J44" i="1"/>
  <c r="J52" i="1"/>
  <c r="J51" i="1"/>
  <c r="J45" i="1"/>
  <c r="J43" i="1"/>
  <c r="J41" i="1"/>
  <c r="K41" i="1"/>
  <c r="K53" i="1" s="1"/>
  <c r="J47" i="1"/>
  <c r="J46" i="1"/>
  <c r="J50" i="1"/>
  <c r="J42" i="1"/>
  <c r="J49" i="1"/>
  <c r="N34" i="1"/>
  <c r="D35" i="10"/>
  <c r="C25" i="10"/>
  <c r="J53" i="1" l="1"/>
  <c r="C40" i="1"/>
  <c r="C9" i="4"/>
  <c r="C5" i="10" l="1"/>
  <c r="B41" i="1" l="1"/>
  <c r="B42" i="1" s="1"/>
  <c r="B43" i="1" s="1"/>
  <c r="B44" i="1" s="1"/>
  <c r="B45" i="1" s="1"/>
  <c r="B46" i="1" s="1"/>
  <c r="B47" i="1" s="1"/>
  <c r="B48" i="1" s="1"/>
  <c r="B49" i="1" s="1"/>
  <c r="B50" i="1" s="1"/>
  <c r="B51" i="1" s="1"/>
  <c r="B52" i="1" s="1"/>
  <c r="D43" i="1"/>
  <c r="D44" i="1"/>
  <c r="D45" i="1"/>
  <c r="D46" i="1"/>
  <c r="D47" i="1"/>
  <c r="D48" i="1"/>
  <c r="D49" i="1"/>
  <c r="D50" i="1"/>
  <c r="D51" i="1"/>
  <c r="D52" i="1"/>
  <c r="C6" i="4" l="1"/>
  <c r="C5" i="4"/>
  <c r="C10" i="4" l="1"/>
  <c r="E13" i="10" s="1"/>
  <c r="E12" i="10" l="1"/>
  <c r="E5" i="10"/>
  <c r="G5" i="10" s="1"/>
  <c r="G41" i="1" s="1"/>
  <c r="N41" i="1" s="1"/>
  <c r="E8" i="10"/>
  <c r="E15" i="10"/>
  <c r="E11" i="10"/>
  <c r="E6" i="10"/>
  <c r="E10" i="10"/>
  <c r="E9" i="10"/>
  <c r="E7" i="10"/>
  <c r="E14" i="10"/>
  <c r="E16" i="10"/>
  <c r="C53" i="1"/>
  <c r="F35" i="10"/>
  <c r="G35" i="10"/>
  <c r="H35" i="10"/>
  <c r="I35" i="10"/>
  <c r="J35" i="10"/>
  <c r="K35" i="10"/>
  <c r="L35" i="10"/>
  <c r="M35" i="10"/>
  <c r="N35" i="10"/>
  <c r="O35" i="10"/>
  <c r="P35" i="10"/>
  <c r="Q35" i="10"/>
  <c r="R35" i="10"/>
  <c r="E35" i="10"/>
  <c r="C34" i="10"/>
  <c r="C33" i="10"/>
  <c r="C32" i="10"/>
  <c r="C31" i="10"/>
  <c r="C30" i="10"/>
  <c r="C29" i="10"/>
  <c r="C28" i="10"/>
  <c r="C27" i="10"/>
  <c r="C26" i="10"/>
  <c r="C24" i="10"/>
  <c r="I52" i="1"/>
  <c r="I51" i="1"/>
  <c r="I50" i="1"/>
  <c r="I49" i="1"/>
  <c r="I48" i="1"/>
  <c r="I47" i="1"/>
  <c r="I46" i="1"/>
  <c r="I45" i="1"/>
  <c r="I44" i="1"/>
  <c r="I43" i="1"/>
  <c r="I42" i="1"/>
  <c r="I41" i="1"/>
  <c r="E17" i="10" l="1"/>
  <c r="C9" i="10"/>
  <c r="B27" i="1"/>
  <c r="B26" i="1"/>
  <c r="B28" i="1"/>
  <c r="B29" i="1"/>
  <c r="B22" i="1"/>
  <c r="B30" i="1"/>
  <c r="B23" i="1"/>
  <c r="B31" i="1"/>
  <c r="B24" i="1"/>
  <c r="B32" i="1"/>
  <c r="B25" i="1"/>
  <c r="B33" i="1"/>
  <c r="B7" i="10"/>
  <c r="B25" i="10"/>
  <c r="B15" i="10"/>
  <c r="B33" i="10"/>
  <c r="C35" i="10"/>
  <c r="C8" i="10"/>
  <c r="C14" i="10"/>
  <c r="C13" i="10"/>
  <c r="C15" i="10"/>
  <c r="C16" i="10"/>
  <c r="C12" i="10"/>
  <c r="C11" i="10"/>
  <c r="C10" i="10"/>
  <c r="C6" i="10"/>
  <c r="C7" i="10"/>
  <c r="B11" i="10"/>
  <c r="B29" i="10"/>
  <c r="B8" i="10"/>
  <c r="B26" i="10"/>
  <c r="B12" i="10"/>
  <c r="B30" i="10"/>
  <c r="B16" i="10"/>
  <c r="B34" i="10"/>
  <c r="B5" i="10"/>
  <c r="B23" i="10"/>
  <c r="B9" i="10"/>
  <c r="B27" i="10"/>
  <c r="B13" i="10"/>
  <c r="B31" i="10"/>
  <c r="B6" i="10"/>
  <c r="B24" i="10"/>
  <c r="B10" i="10"/>
  <c r="B28" i="10"/>
  <c r="B14" i="10"/>
  <c r="B32" i="10"/>
  <c r="F52" i="1"/>
  <c r="F44" i="1"/>
  <c r="F49" i="1"/>
  <c r="F43" i="1"/>
  <c r="F42" i="1"/>
  <c r="F48" i="1"/>
  <c r="F46" i="1"/>
  <c r="F51" i="1"/>
  <c r="F50" i="1"/>
  <c r="F47" i="1"/>
  <c r="F41" i="1"/>
  <c r="F45" i="1"/>
  <c r="C17" i="10" l="1"/>
  <c r="C4" i="4"/>
  <c r="C7" i="4" l="1"/>
  <c r="H24" i="1" l="1"/>
  <c r="H32" i="1"/>
  <c r="H26" i="1"/>
  <c r="H25" i="1"/>
  <c r="H33" i="1"/>
  <c r="H22" i="1"/>
  <c r="H27" i="1"/>
  <c r="H31" i="1"/>
  <c r="H28" i="1"/>
  <c r="H29" i="1"/>
  <c r="H30" i="1"/>
  <c r="L42" i="1"/>
  <c r="C11" i="4"/>
  <c r="C34" i="1"/>
  <c r="L49" i="1" l="1"/>
  <c r="M49" i="1"/>
  <c r="L48" i="1"/>
  <c r="M48" i="1"/>
  <c r="L50" i="1"/>
  <c r="M50" i="1"/>
  <c r="L52" i="1"/>
  <c r="M52" i="1"/>
  <c r="L51" i="1"/>
  <c r="M51" i="1"/>
  <c r="L47" i="1"/>
  <c r="M47" i="1"/>
  <c r="L46" i="1"/>
  <c r="M46" i="1"/>
  <c r="L44" i="1"/>
  <c r="M44" i="1"/>
  <c r="L45" i="1"/>
  <c r="M45" i="1"/>
  <c r="L43" i="1"/>
  <c r="M43" i="1"/>
  <c r="L41" i="1"/>
  <c r="L53" i="1" s="1"/>
  <c r="M41" i="1"/>
  <c r="M53" i="1" s="1"/>
  <c r="H34" i="1"/>
  <c r="N47" i="1"/>
  <c r="N45" i="1"/>
  <c r="N52" i="1"/>
  <c r="N50" i="1"/>
  <c r="N51" i="1"/>
  <c r="D6" i="10"/>
  <c r="G6" i="10" s="1"/>
  <c r="G42" i="1" s="1"/>
  <c r="O42" i="1" s="1"/>
  <c r="D11" i="10"/>
  <c r="G11" i="10" s="1"/>
  <c r="G47" i="1" s="1"/>
  <c r="O47" i="1" s="1"/>
  <c r="D8" i="10"/>
  <c r="G8" i="10" s="1"/>
  <c r="G44" i="1" s="1"/>
  <c r="O44" i="1" s="1"/>
  <c r="D14" i="10"/>
  <c r="G14" i="10" s="1"/>
  <c r="G50" i="1" s="1"/>
  <c r="O50" i="1" s="1"/>
  <c r="D12" i="10"/>
  <c r="G12" i="10" s="1"/>
  <c r="G48" i="1" s="1"/>
  <c r="D15" i="10"/>
  <c r="G15" i="10" s="1"/>
  <c r="G51" i="1" s="1"/>
  <c r="O51" i="1" s="1"/>
  <c r="D10" i="10"/>
  <c r="G10" i="10" s="1"/>
  <c r="G46" i="1" s="1"/>
  <c r="O46" i="1" s="1"/>
  <c r="D7" i="10"/>
  <c r="G7" i="10" s="1"/>
  <c r="G43" i="1" s="1"/>
  <c r="D13" i="10"/>
  <c r="G13" i="10" s="1"/>
  <c r="G49" i="1" s="1"/>
  <c r="D16" i="10"/>
  <c r="G16" i="10" s="1"/>
  <c r="G52" i="1" s="1"/>
  <c r="O52" i="1" s="1"/>
  <c r="D9" i="10"/>
  <c r="G9" i="10" s="1"/>
  <c r="G45" i="1" s="1"/>
  <c r="O45" i="1" s="1"/>
  <c r="D53" i="1"/>
  <c r="N49" i="1" l="1"/>
  <c r="O49" i="1"/>
  <c r="N48" i="1"/>
  <c r="O48" i="1"/>
  <c r="N42" i="1"/>
  <c r="N44" i="1"/>
  <c r="N46" i="1"/>
  <c r="O43" i="1"/>
  <c r="N43" i="1"/>
  <c r="O41" i="1"/>
  <c r="D17" i="10"/>
  <c r="G17" i="10" s="1"/>
  <c r="F18" i="10" s="1"/>
  <c r="F19" i="10" s="1"/>
  <c r="N53" i="1" l="1"/>
  <c r="O53" i="1" l="1"/>
  <c r="G53" i="1"/>
  <c r="D18" i="10" l="1"/>
  <c r="D19" i="10" s="1"/>
  <c r="E18" i="10"/>
  <c r="E19" i="10" s="1"/>
  <c r="C18" i="10"/>
  <c r="C19" i="10" s="1"/>
</calcChain>
</file>

<file path=xl/sharedStrings.xml><?xml version="1.0" encoding="utf-8"?>
<sst xmlns="http://schemas.openxmlformats.org/spreadsheetml/2006/main" count="123" uniqueCount="106">
  <si>
    <t> </t>
  </si>
  <si>
    <t> Energy Intensity Calculator - Poultry Sector</t>
  </si>
  <si>
    <t xml:space="preserve">Introduction </t>
  </si>
  <si>
    <t xml:space="preserve">The most important step in energy management and conservation is measuring and accounting for energy consumption.
EECA works with the industry to help businesses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</si>
  <si>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</si>
  <si>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</si>
  <si>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enter your site name and region and the start date for data entry</t>
  </si>
  <si>
    <t>Enter the total poultry floor space of each of your production houses, up to four. Fill in your monthly production data, selecting the unit at the top.</t>
  </si>
  <si>
    <t xml:space="preserve">Enter your Energy usage. This can be found in your energy bills - the amount of energy consumed within that given month. The tool has inputs for many different types of fuel. Enter the total consumed under the relevant your fuel type.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</si>
  <si>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</si>
  <si>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Input total money spent each month for the different fuel types</t>
  </si>
  <si>
    <t>The cost, energy and CO2 intensity for the given month will be displayed in GREEN (follow the example tab)</t>
  </si>
  <si>
    <t>This will show the energy used and CO2 produced used per unit of production and per unit floor area for that month</t>
  </si>
  <si>
    <t>Key</t>
  </si>
  <si>
    <t>Total tons of CO2 emissions are also displayed.</t>
  </si>
  <si>
    <t>Data Entry</t>
  </si>
  <si>
    <t xml:space="preserve">Drop down selection </t>
  </si>
  <si>
    <t>Repeat steps for each month and the tool will calculate the annual energy intensity along with displaying the month.</t>
  </si>
  <si>
    <t>Calculated Values</t>
  </si>
  <si>
    <t>Final Metrics</t>
  </si>
  <si>
    <r>
      <rPr>
        <b/>
        <sz val="11"/>
        <color rgb="FF000000"/>
        <rFont val="Franklin Gothic Book"/>
      </rPr>
      <t>Note</t>
    </r>
    <r>
      <rPr>
        <sz val="11"/>
        <color rgb="FF000000"/>
        <rFont val="Franklin Gothic Book"/>
      </rPr>
      <t xml:space="preserve">: the purpose of this tool is to calculate scope 1 and 2 emissions for the energy used in the poultry sector.
</t>
    </r>
  </si>
  <si>
    <t>Enter site details</t>
  </si>
  <si>
    <t>Column1</t>
  </si>
  <si>
    <t>Column2</t>
  </si>
  <si>
    <r>
      <t>Total house area (m</t>
    </r>
    <r>
      <rPr>
        <b/>
        <vertAlign val="superscript"/>
        <sz val="14"/>
        <color theme="1"/>
        <rFont val="Sitka Banner Bold"/>
      </rPr>
      <t>2</t>
    </r>
    <r>
      <rPr>
        <b/>
        <sz val="14"/>
        <color theme="1"/>
        <rFont val="Sitka Banner Bold"/>
      </rPr>
      <t>)</t>
    </r>
  </si>
  <si>
    <t>Site name</t>
  </si>
  <si>
    <t>Start Date</t>
  </si>
  <si>
    <t>Region</t>
  </si>
  <si>
    <t>House 1</t>
  </si>
  <si>
    <t>House 2</t>
  </si>
  <si>
    <t xml:space="preserve">House 3 </t>
  </si>
  <si>
    <t>House 4</t>
  </si>
  <si>
    <t>Total</t>
  </si>
  <si>
    <t>Enter energy usage</t>
  </si>
  <si>
    <t>Enter energy  Spend</t>
  </si>
  <si>
    <t>Enter monthly energy usage details below for the months specified:</t>
  </si>
  <si>
    <t>Energy &amp; Fuel consumption</t>
  </si>
  <si>
    <t>Energy &amp; Fuel cost</t>
  </si>
  <si>
    <t xml:space="preserve">Purchased Electricity (kWh) </t>
  </si>
  <si>
    <t>Onsite generated Electricity (kWh)</t>
  </si>
  <si>
    <t>Diesel (L)</t>
  </si>
  <si>
    <t>LPG (kg)</t>
  </si>
  <si>
    <t>Natural Gas (GJ)</t>
  </si>
  <si>
    <t>Total (kWh)</t>
  </si>
  <si>
    <t xml:space="preserve">Purchased Electricity ($) </t>
  </si>
  <si>
    <t>Diesel ($)</t>
  </si>
  <si>
    <t>LPG ($)</t>
  </si>
  <si>
    <t>Natural Gas ($)</t>
  </si>
  <si>
    <t>Total ($)</t>
  </si>
  <si>
    <t xml:space="preserve">Annual production </t>
  </si>
  <si>
    <t>Birds</t>
  </si>
  <si>
    <t xml:space="preserve">Total Emissions </t>
  </si>
  <si>
    <t xml:space="preserve">Cost </t>
  </si>
  <si>
    <t xml:space="preserve">Energy intensity </t>
  </si>
  <si>
    <t xml:space="preserve">Emissions intensity </t>
  </si>
  <si>
    <t>kg CO2-e</t>
  </si>
  <si>
    <t>$/m2</t>
  </si>
  <si>
    <t>kWh/m2</t>
  </si>
  <si>
    <t>kg CO2-e/m2</t>
  </si>
  <si>
    <t>Average</t>
  </si>
  <si>
    <t>Parameters and emissions factors</t>
  </si>
  <si>
    <t>Energy unit conversions</t>
  </si>
  <si>
    <t>References</t>
  </si>
  <si>
    <t xml:space="preserve">GJ to kWh </t>
  </si>
  <si>
    <t>LPG L to kWh</t>
  </si>
  <si>
    <t>https://www.elgas.com.au/blog/389-lpg-conversions-kg-litres-mj-kwh-and-m3/</t>
  </si>
  <si>
    <t>LPG kg to kWh</t>
  </si>
  <si>
    <t>Diesel L to kWh</t>
  </si>
  <si>
    <t>https://ir.canterbury.ac.nz/handle/10092/11527</t>
  </si>
  <si>
    <t>CO2 emissions factors</t>
  </si>
  <si>
    <t>Measuring-emissions_Detailed-guide_2024_ME1829.pdf (environment.govt.nz)</t>
  </si>
  <si>
    <t>Electricity kWh to kgCO2-e</t>
  </si>
  <si>
    <t>Incl. T&amp;D losses</t>
  </si>
  <si>
    <t>LPG kWh to kgCO2-e</t>
  </si>
  <si>
    <t>Diesel kWh to kgCO2-e</t>
  </si>
  <si>
    <t xml:space="preserve">Natural Gas kWh to kgCO2 e </t>
  </si>
  <si>
    <t>Climate Data</t>
  </si>
  <si>
    <t>Average outside air temperatures for 2020-2024 were retrieved from CliFLo</t>
  </si>
  <si>
    <t>https://cliflo.niwa.co.nz/</t>
  </si>
  <si>
    <t>Last Updated</t>
  </si>
  <si>
    <t>T CO2-e</t>
  </si>
  <si>
    <t>Month</t>
  </si>
  <si>
    <t xml:space="preserve">Electricity </t>
  </si>
  <si>
    <t>Diesel</t>
  </si>
  <si>
    <t>LPG</t>
  </si>
  <si>
    <t>Production units</t>
  </si>
  <si>
    <t>kg</t>
  </si>
  <si>
    <t>Flocks</t>
  </si>
  <si>
    <t>N/A</t>
  </si>
  <si>
    <t>OAT</t>
  </si>
  <si>
    <t>Manawatu-Whanganui</t>
  </si>
  <si>
    <t>Central Otago</t>
  </si>
  <si>
    <t>South Canterbury</t>
  </si>
  <si>
    <t xml:space="preserve">Levin EWS </t>
  </si>
  <si>
    <t>Northland</t>
  </si>
  <si>
    <t>Whakatane Ews</t>
  </si>
  <si>
    <t>Hawks Bay</t>
  </si>
  <si>
    <t xml:space="preserve">Nelson       </t>
  </si>
  <si>
    <t>Eastern BOP</t>
  </si>
  <si>
    <t>North Canterbury</t>
  </si>
  <si>
    <t>Masterton</t>
  </si>
  <si>
    <t>South Auckland</t>
  </si>
  <si>
    <t>Hamilton</t>
  </si>
  <si>
    <t>Taranaki</t>
  </si>
  <si>
    <t>Southland</t>
  </si>
  <si>
    <t>Not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</si>
</sst>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_-;\-* #,##0_-;_-* &quot;-&quot;??_-;_-@_-"/>
    <numFmt numFmtId="165" formatCode="#,##0.0"/>
    <numFmt numFmtId="166" formatCode="0.00000"/>
    <numFmt numFmtId="167" formatCode="0.0"/>
    <numFmt numFmtId="168" formatCode="0.0000000"/>
  </numFmts>
  <fonts count="33">
    <font>
      <sz val="11"/>
      <color theme="1"/>
      <name val="Calibri"/>
      <family val="2"/>
      <scheme val="minor"/>
    </font>
    <font>
      <sz val="11"/>
      <color theme="1"/>
      <name val="Calibri"/>
      <family val="2"/>
      <scheme val="minor"/>
    </font>
    <font>
      <b/>
      <sz val="11"/>
      <color theme="1"/>
      <name val="Calibri"/>
      <family val="2"/>
      <scheme val="minor"/>
    </font>
    <font>
      <b/>
      <sz val="11"/>
      <color theme="1"/>
      <name val="Sitka Banner Bold"/>
    </font>
    <font>
      <sz val="11"/>
      <color theme="1"/>
      <name val="Franklin Gothic Book"/>
      <family val="2"/>
    </font>
    <font>
      <b/>
      <sz val="11"/>
      <color theme="1"/>
      <name val="Franklin Gothic Book"/>
      <family val="2"/>
    </font>
    <font>
      <u/>
      <sz val="11"/>
      <color theme="10"/>
      <name val="Calibri"/>
      <family val="2"/>
      <scheme val="minor"/>
    </font>
    <font>
      <b/>
      <sz val="14"/>
      <color theme="1"/>
      <name val="Calibri"/>
      <family val="2"/>
      <scheme val="minor"/>
    </font>
    <font>
      <sz val="8"/>
      <name val="Calibri"/>
      <family val="2"/>
      <scheme val="minor"/>
    </font>
    <font>
      <b/>
      <sz val="11"/>
      <color theme="0"/>
      <name val="Franklin Gothic Book"/>
      <family val="2"/>
    </font>
    <font>
      <sz val="11"/>
      <color theme="0"/>
      <name val="Franklin Gothic Book"/>
      <family val="2"/>
    </font>
    <font>
      <i/>
      <sz val="11"/>
      <color theme="1"/>
      <name val="Franklin Gothic Book"/>
      <family val="2"/>
    </font>
    <font>
      <b/>
      <sz val="14"/>
      <color theme="1"/>
      <name val="Sitka Banner Bold"/>
    </font>
    <font>
      <b/>
      <u/>
      <sz val="11"/>
      <color theme="1"/>
      <name val="Calibri"/>
      <family val="2"/>
      <scheme val="minor"/>
    </font>
    <font>
      <sz val="11"/>
      <color rgb="FF000000"/>
      <name val="Franklin Gothic Book"/>
      <family val="2"/>
    </font>
    <font>
      <b/>
      <vertAlign val="superscript"/>
      <sz val="14"/>
      <color theme="1"/>
      <name val="Sitka Banner Bold"/>
    </font>
    <font>
      <b/>
      <sz val="11"/>
      <color rgb="FF000000"/>
      <name val="Calibri"/>
      <family val="2"/>
    </font>
    <font>
      <sz val="36"/>
      <color theme="0"/>
      <name val="Franklin Gothic Book"/>
      <family val="2"/>
    </font>
    <font>
      <sz val="11"/>
      <color rgb="FF000000"/>
      <name val="Calibri"/>
      <family val="2"/>
    </font>
    <font>
      <sz val="24"/>
      <color rgb="FF164057"/>
      <name val="Arial"/>
      <family val="2"/>
    </font>
    <font>
      <sz val="12"/>
      <color rgb="FF164057"/>
      <name val="Arial"/>
      <family val="2"/>
    </font>
    <font>
      <sz val="11"/>
      <color rgb="FF164057"/>
      <name val="Arial"/>
      <family val="2"/>
    </font>
    <font>
      <b/>
      <sz val="11"/>
      <color rgb="FF164057"/>
      <name val="Arial"/>
      <family val="2"/>
    </font>
    <font>
      <b/>
      <sz val="11"/>
      <color theme="1"/>
      <name val="Arial"/>
      <family val="2"/>
    </font>
    <font>
      <sz val="10"/>
      <color rgb="FF164057"/>
      <name val="Arial"/>
      <family val="2"/>
    </font>
    <font>
      <u val="double"/>
      <sz val="11"/>
      <color rgb="FF164057"/>
      <name val="Arial"/>
      <family val="2"/>
    </font>
    <font>
      <b/>
      <u val="double"/>
      <sz val="11"/>
      <color rgb="FF164057"/>
      <name val="Arial"/>
      <family val="2"/>
    </font>
    <font>
      <sz val="11"/>
      <color theme="1"/>
      <name val="Arial"/>
      <family val="2"/>
    </font>
    <font>
      <sz val="10"/>
      <color theme="1"/>
      <name val="Arial"/>
      <family val="2"/>
    </font>
    <font>
      <b/>
      <sz val="14"/>
      <name val="Sitka Banner Bold"/>
    </font>
    <font>
      <sz val="11"/>
      <name val="Franklin Gothic Book"/>
      <family val="2"/>
    </font>
    <font>
      <b/>
      <sz val="11"/>
      <color rgb="FF000000"/>
      <name val="Franklin Gothic Book"/>
    </font>
    <font>
      <sz val="11"/>
      <color rgb="FF000000"/>
      <name val="Franklin Gothic Book"/>
    </font>
  </fonts>
  <fills count="14">
    <fill>
      <patternFill patternType="none"/>
    </fill>
    <fill>
      <patternFill patternType="gray125"/>
    </fill>
    <fill>
      <patternFill patternType="solid">
        <fgColor rgb="FF317575"/>
        <bgColor indexed="64"/>
      </patternFill>
    </fill>
    <fill>
      <patternFill patternType="solid">
        <fgColor rgb="FFAAC1C2"/>
        <bgColor indexed="64"/>
      </patternFill>
    </fill>
    <fill>
      <patternFill patternType="solid">
        <fgColor rgb="FFCBCDD5"/>
        <bgColor indexed="64"/>
      </patternFill>
    </fill>
    <fill>
      <patternFill patternType="solid">
        <fgColor theme="4"/>
        <bgColor indexed="64"/>
      </patternFill>
    </fill>
    <fill>
      <patternFill patternType="solid">
        <fgColor rgb="FF164057"/>
        <bgColor rgb="FF000000"/>
      </patternFill>
    </fill>
    <fill>
      <patternFill patternType="solid">
        <fgColor theme="0"/>
        <bgColor indexed="64"/>
      </patternFill>
    </fill>
    <fill>
      <patternFill patternType="solid">
        <fgColor theme="0" tint="-4.9989318521683403E-2"/>
        <bgColor indexed="64"/>
      </patternFill>
    </fill>
    <fill>
      <patternFill patternType="solid">
        <fgColor rgb="FFB8CAD4"/>
        <bgColor indexed="64"/>
      </patternFill>
    </fill>
    <fill>
      <patternFill patternType="solid">
        <fgColor theme="2"/>
        <bgColor indexed="64"/>
      </patternFill>
    </fill>
    <fill>
      <patternFill patternType="solid">
        <fgColor rgb="FF41B496"/>
        <bgColor indexed="64"/>
      </patternFill>
    </fill>
    <fill>
      <patternFill patternType="solid">
        <fgColor rgb="FF164057"/>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indexed="64"/>
      </top>
      <bottom style="thin">
        <color theme="0"/>
      </bottom>
      <diagonal/>
    </border>
    <border>
      <left/>
      <right style="thin">
        <color theme="0"/>
      </right>
      <top style="thin">
        <color theme="0"/>
      </top>
      <bottom style="thin">
        <color indexed="64"/>
      </bottom>
      <diagonal/>
    </border>
    <border>
      <left/>
      <right style="thin">
        <color theme="0"/>
      </right>
      <top/>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rgb="FF317575"/>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medium">
        <color rgb="FF000000"/>
      </left>
      <right/>
      <top style="medium">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cellStyleXfs>
  <cellXfs count="161">
    <xf numFmtId="0" fontId="0" fillId="0" borderId="0" xfId="0"/>
    <xf numFmtId="0" fontId="4" fillId="0" borderId="0" xfId="0" applyFont="1"/>
    <xf numFmtId="0" fontId="6" fillId="0" borderId="0" xfId="2"/>
    <xf numFmtId="0" fontId="0" fillId="0" borderId="7" xfId="0" applyBorder="1"/>
    <xf numFmtId="3" fontId="5" fillId="0" borderId="0" xfId="0" applyNumberFormat="1" applyFont="1"/>
    <xf numFmtId="0" fontId="9" fillId="2" borderId="5" xfId="0" applyFont="1" applyFill="1" applyBorder="1"/>
    <xf numFmtId="0" fontId="9" fillId="2" borderId="6" xfId="0" applyFont="1" applyFill="1" applyBorder="1" applyAlignment="1">
      <alignment horizontal="centerContinuous" vertical="top"/>
    </xf>
    <xf numFmtId="0" fontId="10" fillId="2" borderId="6" xfId="0" applyFont="1" applyFill="1" applyBorder="1" applyAlignment="1">
      <alignment horizontal="centerContinuous"/>
    </xf>
    <xf numFmtId="0" fontId="10" fillId="2" borderId="10" xfId="0" applyFont="1" applyFill="1" applyBorder="1"/>
    <xf numFmtId="17" fontId="4" fillId="3" borderId="9" xfId="0" applyNumberFormat="1" applyFont="1" applyFill="1" applyBorder="1" applyAlignment="1">
      <alignment horizontal="left"/>
    </xf>
    <xf numFmtId="4" fontId="4" fillId="3" borderId="0" xfId="0" applyNumberFormat="1" applyFont="1" applyFill="1"/>
    <xf numFmtId="0" fontId="5" fillId="3" borderId="9" xfId="0" applyFont="1" applyFill="1" applyBorder="1" applyAlignment="1">
      <alignment horizontal="left"/>
    </xf>
    <xf numFmtId="3" fontId="5" fillId="3" borderId="0" xfId="0" applyNumberFormat="1" applyFont="1" applyFill="1"/>
    <xf numFmtId="3" fontId="5" fillId="3" borderId="11" xfId="0" applyNumberFormat="1" applyFont="1" applyFill="1" applyBorder="1"/>
    <xf numFmtId="0" fontId="4" fillId="3" borderId="9" xfId="0" applyFont="1" applyFill="1" applyBorder="1"/>
    <xf numFmtId="10" fontId="4" fillId="3" borderId="0" xfId="0" applyNumberFormat="1" applyFont="1" applyFill="1"/>
    <xf numFmtId="0" fontId="4" fillId="3" borderId="12" xfId="0" applyFont="1" applyFill="1" applyBorder="1"/>
    <xf numFmtId="3" fontId="4" fillId="3" borderId="7" xfId="0" applyNumberFormat="1" applyFont="1" applyFill="1" applyBorder="1"/>
    <xf numFmtId="0" fontId="9" fillId="2" borderId="5" xfId="0" applyFont="1" applyFill="1" applyBorder="1" applyAlignment="1">
      <alignment vertical="top"/>
    </xf>
    <xf numFmtId="0" fontId="9" fillId="2" borderId="6" xfId="0" applyFont="1" applyFill="1" applyBorder="1" applyAlignment="1">
      <alignment vertical="top"/>
    </xf>
    <xf numFmtId="0" fontId="9" fillId="2" borderId="6" xfId="0" applyFont="1" applyFill="1" applyBorder="1" applyAlignment="1">
      <alignment vertical="top" wrapText="1"/>
    </xf>
    <xf numFmtId="0" fontId="9" fillId="2" borderId="10" xfId="0" applyFont="1" applyFill="1" applyBorder="1" applyAlignment="1">
      <alignment vertical="top" wrapText="1"/>
    </xf>
    <xf numFmtId="17" fontId="4" fillId="3" borderId="9" xfId="0" applyNumberFormat="1" applyFont="1" applyFill="1" applyBorder="1"/>
    <xf numFmtId="167" fontId="4" fillId="3" borderId="0" xfId="0" applyNumberFormat="1" applyFont="1" applyFill="1"/>
    <xf numFmtId="165" fontId="4" fillId="3" borderId="0" xfId="0" applyNumberFormat="1" applyFont="1" applyFill="1"/>
    <xf numFmtId="165" fontId="4" fillId="3" borderId="11" xfId="0" applyNumberFormat="1" applyFont="1" applyFill="1" applyBorder="1"/>
    <xf numFmtId="165" fontId="5" fillId="3" borderId="7" xfId="0" applyNumberFormat="1" applyFont="1" applyFill="1" applyBorder="1"/>
    <xf numFmtId="165" fontId="5" fillId="3" borderId="13" xfId="0" applyNumberFormat="1" applyFont="1" applyFill="1" applyBorder="1"/>
    <xf numFmtId="0" fontId="0" fillId="0" borderId="14" xfId="0" applyBorder="1"/>
    <xf numFmtId="4" fontId="0" fillId="0" borderId="14" xfId="0" applyNumberFormat="1" applyBorder="1"/>
    <xf numFmtId="0" fontId="0" fillId="0" borderId="14" xfId="0" applyBorder="1" applyAlignment="1">
      <alignment horizontal="right"/>
    </xf>
    <xf numFmtId="0" fontId="6" fillId="0" borderId="14" xfId="2" applyBorder="1"/>
    <xf numFmtId="166" fontId="0" fillId="0" borderId="14" xfId="0" applyNumberFormat="1" applyBorder="1"/>
    <xf numFmtId="0" fontId="2" fillId="0" borderId="14" xfId="0" applyFont="1" applyBorder="1" applyAlignment="1">
      <alignment horizontal="right"/>
    </xf>
    <xf numFmtId="0" fontId="7" fillId="0" borderId="14" xfId="0" applyFont="1" applyBorder="1" applyAlignment="1">
      <alignment horizontal="left"/>
    </xf>
    <xf numFmtId="0" fontId="0" fillId="0" borderId="14" xfId="0" applyBorder="1" applyAlignment="1">
      <alignment horizontal="center"/>
    </xf>
    <xf numFmtId="0" fontId="0" fillId="0" borderId="16" xfId="0" applyBorder="1"/>
    <xf numFmtId="0" fontId="0" fillId="0" borderId="19" xfId="0" applyBorder="1"/>
    <xf numFmtId="0" fontId="0" fillId="0" borderId="15"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17" xfId="0" applyBorder="1"/>
    <xf numFmtId="0" fontId="0" fillId="0" borderId="18" xfId="0" applyBorder="1"/>
    <xf numFmtId="0" fontId="0" fillId="0" borderId="24" xfId="0" applyBorder="1"/>
    <xf numFmtId="0" fontId="2" fillId="0" borderId="18" xfId="0" applyFont="1" applyBorder="1" applyAlignment="1">
      <alignment horizontal="right"/>
    </xf>
    <xf numFmtId="0" fontId="0" fillId="0" borderId="25" xfId="0" applyBorder="1"/>
    <xf numFmtId="0" fontId="0" fillId="0" borderId="26" xfId="0" applyBorder="1"/>
    <xf numFmtId="0" fontId="0" fillId="0" borderId="27" xfId="0" applyBorder="1"/>
    <xf numFmtId="0" fontId="6" fillId="0" borderId="19" xfId="2" applyBorder="1"/>
    <xf numFmtId="0" fontId="0" fillId="0" borderId="28" xfId="0" applyBorder="1"/>
    <xf numFmtId="0" fontId="0" fillId="0" borderId="30" xfId="0" applyBorder="1"/>
    <xf numFmtId="0" fontId="2" fillId="0" borderId="18" xfId="0" applyFont="1" applyBorder="1"/>
    <xf numFmtId="14" fontId="0" fillId="0" borderId="14" xfId="0" applyNumberFormat="1" applyBorder="1"/>
    <xf numFmtId="0" fontId="13" fillId="0" borderId="14" xfId="0" applyFont="1" applyBorder="1" applyAlignment="1">
      <alignment horizontal="right"/>
    </xf>
    <xf numFmtId="168" fontId="0" fillId="0" borderId="14" xfId="0" applyNumberFormat="1" applyBorder="1"/>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10" fillId="5"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0" fillId="0" borderId="18" xfId="0" applyBorder="1" applyAlignment="1">
      <alignment horizontal="right"/>
    </xf>
    <xf numFmtId="166" fontId="0" fillId="0" borderId="18" xfId="0" applyNumberFormat="1" applyBorder="1"/>
    <xf numFmtId="0" fontId="6" fillId="0" borderId="18" xfId="2" applyBorder="1"/>
    <xf numFmtId="0" fontId="0" fillId="0" borderId="33" xfId="0" applyBorder="1"/>
    <xf numFmtId="0" fontId="0" fillId="0" borderId="34" xfId="0" applyBorder="1"/>
    <xf numFmtId="0" fontId="0" fillId="0" borderId="29" xfId="0" applyBorder="1"/>
    <xf numFmtId="0" fontId="0" fillId="0" borderId="35" xfId="0" applyBorder="1"/>
    <xf numFmtId="0" fontId="16" fillId="6" borderId="36" xfId="0" applyFont="1" applyFill="1" applyBorder="1"/>
    <xf numFmtId="0" fontId="0" fillId="7" borderId="0" xfId="0" applyFill="1"/>
    <xf numFmtId="0" fontId="0" fillId="7" borderId="37" xfId="0" applyFill="1" applyBorder="1"/>
    <xf numFmtId="0" fontId="0" fillId="7" borderId="38" xfId="0" applyFill="1" applyBorder="1"/>
    <xf numFmtId="0" fontId="0" fillId="7" borderId="39" xfId="0" applyFill="1" applyBorder="1"/>
    <xf numFmtId="0" fontId="21" fillId="7" borderId="0" xfId="0" applyFont="1" applyFill="1" applyAlignment="1">
      <alignment horizontal="left" wrapText="1" indent="1"/>
    </xf>
    <xf numFmtId="0" fontId="19" fillId="7" borderId="0" xfId="0" applyFont="1" applyFill="1" applyAlignment="1">
      <alignment horizontal="left" indent="2"/>
    </xf>
    <xf numFmtId="0" fontId="22" fillId="8" borderId="0" xfId="0" applyFont="1" applyFill="1" applyAlignment="1">
      <alignment horizontal="center"/>
    </xf>
    <xf numFmtId="0" fontId="22" fillId="8" borderId="0" xfId="0" applyFont="1" applyFill="1"/>
    <xf numFmtId="0" fontId="0" fillId="8" borderId="0" xfId="0" applyFill="1"/>
    <xf numFmtId="0" fontId="23" fillId="8" borderId="0" xfId="0" applyFont="1" applyFill="1"/>
    <xf numFmtId="0" fontId="2" fillId="8" borderId="0" xfId="0" applyFont="1" applyFill="1" applyAlignment="1">
      <alignment horizontal="left"/>
    </xf>
    <xf numFmtId="0" fontId="21" fillId="8" borderId="0" xfId="0" applyFont="1" applyFill="1" applyAlignment="1">
      <alignment vertical="center"/>
    </xf>
    <xf numFmtId="0" fontId="21" fillId="8" borderId="0" xfId="0" applyFont="1" applyFill="1"/>
    <xf numFmtId="0" fontId="24" fillId="7" borderId="39" xfId="0" applyFont="1" applyFill="1" applyBorder="1"/>
    <xf numFmtId="0" fontId="27" fillId="8" borderId="0" xfId="0" applyFont="1" applyFill="1"/>
    <xf numFmtId="0" fontId="22" fillId="8" borderId="0" xfId="0" applyFont="1" applyFill="1" applyAlignment="1">
      <alignment vertical="center"/>
    </xf>
    <xf numFmtId="0" fontId="24" fillId="7" borderId="0" xfId="0" applyFont="1" applyFill="1"/>
    <xf numFmtId="0" fontId="28" fillId="7" borderId="39" xfId="0" applyFont="1" applyFill="1" applyBorder="1"/>
    <xf numFmtId="0" fontId="0" fillId="7" borderId="40" xfId="0" applyFill="1" applyBorder="1"/>
    <xf numFmtId="0" fontId="0" fillId="7" borderId="41" xfId="0" applyFill="1" applyBorder="1"/>
    <xf numFmtId="0" fontId="0" fillId="12" borderId="0" xfId="0" applyFill="1"/>
    <xf numFmtId="0" fontId="9" fillId="2" borderId="0" xfId="0" applyFont="1" applyFill="1" applyAlignment="1">
      <alignment vertical="top" wrapText="1"/>
    </xf>
    <xf numFmtId="0" fontId="4" fillId="0" borderId="0" xfId="0" applyFont="1" applyAlignment="1">
      <alignment horizontal="center"/>
    </xf>
    <xf numFmtId="49" fontId="11" fillId="9" borderId="1" xfId="0" applyNumberFormat="1" applyFont="1" applyFill="1" applyBorder="1" applyAlignment="1">
      <alignment vertical="center"/>
    </xf>
    <xf numFmtId="49" fontId="11" fillId="0" borderId="0" xfId="0" applyNumberFormat="1" applyFont="1" applyAlignment="1">
      <alignment vertical="center"/>
    </xf>
    <xf numFmtId="0" fontId="4" fillId="0" borderId="0" xfId="0" applyFont="1" applyAlignment="1">
      <alignment vertical="top" wrapText="1"/>
    </xf>
    <xf numFmtId="49" fontId="11" fillId="13" borderId="1" xfId="0" applyNumberFormat="1" applyFont="1" applyFill="1" applyBorder="1" applyAlignment="1">
      <alignment vertical="center"/>
    </xf>
    <xf numFmtId="49" fontId="11" fillId="10" borderId="1" xfId="1" applyNumberFormat="1" applyFont="1" applyFill="1" applyBorder="1" applyAlignment="1" applyProtection="1">
      <alignment vertical="center"/>
    </xf>
    <xf numFmtId="49" fontId="11" fillId="0" borderId="0" xfId="1" applyNumberFormat="1" applyFont="1" applyFill="1" applyBorder="1" applyAlignment="1" applyProtection="1">
      <alignment vertical="center"/>
    </xf>
    <xf numFmtId="49" fontId="11" fillId="11" borderId="1" xfId="1" applyNumberFormat="1" applyFont="1" applyFill="1" applyBorder="1" applyAlignment="1" applyProtection="1">
      <alignment vertical="center"/>
    </xf>
    <xf numFmtId="0" fontId="29" fillId="0" borderId="13" xfId="0" applyFont="1" applyBorder="1" applyAlignment="1">
      <alignment horizontal="center" vertical="center"/>
    </xf>
    <xf numFmtId="0" fontId="29" fillId="0" borderId="31" xfId="0" applyFont="1" applyBorder="1" applyAlignment="1">
      <alignment horizontal="center" vertical="center"/>
    </xf>
    <xf numFmtId="0" fontId="29" fillId="0" borderId="12" xfId="0" applyFont="1" applyBorder="1" applyAlignment="1">
      <alignment horizontal="center" vertical="center"/>
    </xf>
    <xf numFmtId="0" fontId="3" fillId="0" borderId="0" xfId="0" applyFont="1" applyAlignment="1">
      <alignment vertical="center"/>
    </xf>
    <xf numFmtId="0" fontId="30" fillId="0" borderId="4" xfId="0" applyFont="1" applyBorder="1" applyAlignment="1">
      <alignment vertical="center"/>
    </xf>
    <xf numFmtId="0" fontId="30" fillId="0" borderId="1" xfId="0" applyFont="1" applyBorder="1" applyAlignment="1">
      <alignment horizontal="center" vertical="center"/>
    </xf>
    <xf numFmtId="0" fontId="30" fillId="0" borderId="3" xfId="0" applyFont="1" applyBorder="1" applyAlignment="1">
      <alignment vertical="center"/>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xf>
    <xf numFmtId="0" fontId="10" fillId="0" borderId="0" xfId="0" applyFont="1" applyAlignment="1">
      <alignment horizontal="left"/>
    </xf>
    <xf numFmtId="164" fontId="4" fillId="8" borderId="1" xfId="1" applyNumberFormat="1" applyFont="1" applyFill="1" applyBorder="1" applyAlignment="1" applyProtection="1">
      <alignment horizontal="center"/>
    </xf>
    <xf numFmtId="0" fontId="4" fillId="0" borderId="0" xfId="0" applyFont="1" applyAlignment="1">
      <alignment horizontal="left"/>
    </xf>
    <xf numFmtId="0" fontId="4" fillId="0" borderId="0" xfId="0" applyFont="1" applyAlignment="1">
      <alignment horizontal="center" vertical="top"/>
    </xf>
    <xf numFmtId="0" fontId="12" fillId="0" borderId="0" xfId="0" applyFont="1" applyAlignment="1">
      <alignment horizontal="center" vertical="center"/>
    </xf>
    <xf numFmtId="0" fontId="12" fillId="0" borderId="0" xfId="0" applyFont="1" applyAlignment="1">
      <alignment vertical="center"/>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1" xfId="0" applyFont="1" applyBorder="1" applyAlignment="1">
      <alignment horizontal="left" vertical="center" wrapText="1"/>
    </xf>
    <xf numFmtId="0" fontId="4" fillId="0" borderId="31" xfId="0" applyFont="1" applyBorder="1" applyAlignment="1">
      <alignment horizontal="left" vertical="center"/>
    </xf>
    <xf numFmtId="17" fontId="4" fillId="0" borderId="0" xfId="0" applyNumberFormat="1" applyFont="1" applyAlignment="1">
      <alignment horizontal="left"/>
    </xf>
    <xf numFmtId="164" fontId="4" fillId="8" borderId="1" xfId="1" applyNumberFormat="1" applyFont="1" applyFill="1" applyBorder="1" applyProtection="1"/>
    <xf numFmtId="0" fontId="5" fillId="0" borderId="10" xfId="0" applyFont="1" applyBorder="1"/>
    <xf numFmtId="0" fontId="5" fillId="0" borderId="0" xfId="0" applyFont="1"/>
    <xf numFmtId="164" fontId="4" fillId="0" borderId="0" xfId="1" applyNumberFormat="1" applyFont="1" applyFill="1" applyBorder="1" applyProtection="1"/>
    <xf numFmtId="164" fontId="4" fillId="0" borderId="0" xfId="1" applyNumberFormat="1" applyFont="1" applyFill="1" applyBorder="1" applyAlignment="1" applyProtection="1">
      <alignment horizontal="center"/>
    </xf>
    <xf numFmtId="0" fontId="12" fillId="0" borderId="2" xfId="0" applyFont="1" applyBorder="1" applyAlignment="1">
      <alignment vertical="center"/>
    </xf>
    <xf numFmtId="0" fontId="12" fillId="0" borderId="1" xfId="0" applyFont="1" applyBorder="1" applyAlignment="1">
      <alignment horizontal="center" vertical="center" wrapText="1"/>
    </xf>
    <xf numFmtId="0" fontId="4" fillId="0" borderId="4" xfId="0" applyFont="1" applyBorder="1" applyAlignment="1">
      <alignment vertical="top"/>
    </xf>
    <xf numFmtId="0" fontId="4" fillId="0" borderId="31" xfId="0" applyFont="1" applyBorder="1" applyAlignment="1">
      <alignment horizontal="center" vertical="center"/>
    </xf>
    <xf numFmtId="0" fontId="4" fillId="0" borderId="1" xfId="0" applyFont="1" applyBorder="1" applyAlignment="1">
      <alignment horizontal="left" vertical="center" wrapText="1"/>
    </xf>
    <xf numFmtId="164" fontId="4" fillId="4" borderId="1" xfId="1" applyNumberFormat="1" applyFont="1" applyFill="1" applyBorder="1" applyProtection="1"/>
    <xf numFmtId="17" fontId="4" fillId="0" borderId="11" xfId="0" applyNumberFormat="1" applyFont="1" applyBorder="1" applyAlignment="1">
      <alignment horizontal="left"/>
    </xf>
    <xf numFmtId="164" fontId="4" fillId="11" borderId="1" xfId="1" applyNumberFormat="1" applyFont="1" applyFill="1" applyBorder="1" applyAlignment="1" applyProtection="1">
      <alignment horizontal="center"/>
    </xf>
    <xf numFmtId="164" fontId="4" fillId="11" borderId="1" xfId="1" applyNumberFormat="1" applyFont="1" applyFill="1" applyBorder="1" applyProtection="1"/>
    <xf numFmtId="43" fontId="4" fillId="11" borderId="1" xfId="1" applyFont="1" applyFill="1" applyBorder="1" applyProtection="1"/>
    <xf numFmtId="17" fontId="4" fillId="0" borderId="13" xfId="0" applyNumberFormat="1" applyFont="1" applyBorder="1" applyAlignment="1">
      <alignment horizontal="left"/>
    </xf>
    <xf numFmtId="164" fontId="5" fillId="4" borderId="1" xfId="1" applyNumberFormat="1" applyFont="1" applyFill="1" applyBorder="1" applyProtection="1"/>
    <xf numFmtId="164" fontId="5" fillId="11" borderId="1" xfId="1" applyNumberFormat="1" applyFont="1" applyFill="1" applyBorder="1" applyProtection="1"/>
    <xf numFmtId="43" fontId="5" fillId="11" borderId="1" xfId="1" applyFont="1" applyFill="1" applyBorder="1" applyProtection="1"/>
    <xf numFmtId="0" fontId="4" fillId="9" borderId="10" xfId="0" applyFont="1" applyFill="1" applyBorder="1" applyAlignment="1" applyProtection="1">
      <alignment horizontal="left" vertical="center" wrapText="1"/>
      <protection locked="0"/>
    </xf>
    <xf numFmtId="17" fontId="4" fillId="9" borderId="8" xfId="0" applyNumberFormat="1" applyFont="1" applyFill="1" applyBorder="1" applyAlignment="1" applyProtection="1">
      <alignment horizontal="center" vertical="center"/>
      <protection locked="0"/>
    </xf>
    <xf numFmtId="0" fontId="4" fillId="13" borderId="6" xfId="0" applyFont="1" applyFill="1" applyBorder="1" applyAlignment="1" applyProtection="1">
      <alignment vertical="center"/>
      <protection locked="0"/>
    </xf>
    <xf numFmtId="164" fontId="4" fillId="9" borderId="1" xfId="1" applyNumberFormat="1" applyFont="1" applyFill="1" applyBorder="1" applyAlignment="1" applyProtection="1">
      <alignment horizontal="right"/>
      <protection locked="0"/>
    </xf>
    <xf numFmtId="164" fontId="4" fillId="13" borderId="1" xfId="1" applyNumberFormat="1" applyFont="1" applyFill="1" applyBorder="1" applyAlignment="1" applyProtection="1">
      <alignment horizontal="left" vertical="center"/>
      <protection locked="0"/>
    </xf>
    <xf numFmtId="9" fontId="23" fillId="8" borderId="0" xfId="3" applyFont="1" applyFill="1"/>
    <xf numFmtId="0" fontId="17" fillId="6" borderId="0" xfId="0" applyFont="1" applyFill="1" applyAlignment="1">
      <alignment horizontal="left" vertical="center"/>
    </xf>
    <xf numFmtId="0" fontId="18" fillId="6" borderId="0" xfId="0" applyFont="1" applyFill="1" applyAlignment="1">
      <alignment horizontal="left" vertical="center"/>
    </xf>
    <xf numFmtId="0" fontId="19" fillId="7" borderId="37" xfId="0" applyFont="1" applyFill="1" applyBorder="1" applyAlignment="1">
      <alignment horizontal="left" vertical="center" indent="2"/>
    </xf>
    <xf numFmtId="0" fontId="20" fillId="8" borderId="0" xfId="0" applyFont="1" applyFill="1" applyAlignment="1">
      <alignment horizontal="left" vertical="center" wrapText="1" indent="2"/>
    </xf>
    <xf numFmtId="0" fontId="0" fillId="7" borderId="0" xfId="0" applyFill="1" applyAlignment="1">
      <alignment horizontal="center"/>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32" fillId="0" borderId="0" xfId="0" applyFont="1" applyAlignment="1">
      <alignment horizontal="left" vertical="top" wrapText="1"/>
    </xf>
    <xf numFmtId="0" fontId="4" fillId="0" borderId="0" xfId="0" applyFont="1" applyAlignment="1">
      <alignment horizontal="left" vertical="top" wrapText="1"/>
    </xf>
    <xf numFmtId="0" fontId="14" fillId="0" borderId="0" xfId="0" applyFont="1" applyAlignment="1">
      <alignment horizontal="left" vertical="top" wrapText="1"/>
    </xf>
  </cellXfs>
  <cellStyles count="4">
    <cellStyle name="Comma" xfId="1" builtinId="3"/>
    <cellStyle name="Hyperlink" xfId="2" builtinId="8"/>
    <cellStyle name="Normal" xfId="0" builtinId="0"/>
    <cellStyle name="Percent" xfId="3" builtinId="5"/>
  </cellStyles>
  <dxfs count="10">
    <dxf>
      <protection locked="1" hidden="0"/>
    </dxf>
    <dxf>
      <protection locked="1" hidden="0"/>
    </dxf>
    <dxf>
      <protection locked="1"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4"/>
        <color theme="1"/>
        <name val="Sitka Banner Bold"/>
        <scheme val="none"/>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i val="0"/>
        <color rgb="FF265D5C"/>
      </font>
    </dxf>
    <dxf>
      <fill>
        <patternFill patternType="solid">
          <fgColor theme="0"/>
          <bgColor theme="0"/>
        </patternFill>
      </fill>
      <border>
        <left style="thin">
          <color theme="1" tint="-0.499984740745262"/>
        </left>
        <right style="thin">
          <color theme="1" tint="-0.499984740745262"/>
        </right>
        <top style="thin">
          <color theme="1" tint="-0.499984740745262"/>
        </top>
        <bottom style="thin">
          <color theme="1" tint="-0.499984740745262"/>
        </bottom>
      </border>
    </dxf>
  </dxfs>
  <tableStyles count="1" defaultTableStyle="TableStyleMedium2" defaultPivotStyle="PivotStyleLight16">
    <tableStyle name="Timeline Style 3" pivot="0" table="0" count="9" xr9:uid="{3135FECB-768C-4DBC-AB13-B730620A0E75}">
      <tableStyleElement type="wholeTable" dxfId="9"/>
      <tableStyleElement type="headerRow" dxfId="8"/>
    </tableStyle>
  </tableStyles>
  <colors>
    <mruColors>
      <color rgb="FF164057"/>
      <color rgb="FF41B496"/>
      <color rgb="FF317575"/>
      <color rgb="FF388684"/>
      <color rgb="FF3E9694"/>
      <color rgb="FFAAC1C2"/>
      <color rgb="FFFFC7CE"/>
      <color rgb="FFFF9797"/>
      <color rgb="FFFF5050"/>
      <color rgb="FFFF7E1D"/>
    </mruColors>
  </colors>
  <extLst>
    <ext xmlns:x14="http://schemas.microsoft.com/office/spreadsheetml/2009/9/main" uri="{EB79DEF2-80B8-43e5-95BD-54CBDDF9020C}">
      <x14:slicerStyles defaultSlicerStyle="SlicerStyleLight1"/>
    </ext>
    <ext xmlns:x15="http://schemas.microsoft.com/office/spreadsheetml/2010/11/main" uri="{A0A4C193-F2C1-4fcb-8827-314CF55A85BB}">
      <x15:dxfs count="7">
        <dxf>
          <fill>
            <patternFill>
              <bgColor theme="0"/>
            </patternFill>
          </fill>
        </dxf>
        <dxf>
          <fill>
            <patternFill patternType="solid">
              <fgColor theme="0" tint="-0.14999847407452621"/>
              <bgColor theme="0" tint="-0.14999847407452621"/>
            </patternFill>
          </fill>
        </dxf>
        <dxf>
          <fill>
            <patternFill patternType="solid">
              <fgColor theme="0"/>
              <bgColor rgb="FF317575"/>
            </patternFill>
          </fill>
        </dxf>
        <dxf>
          <font>
            <sz val="9"/>
            <color theme="1" tint="0.499984740745262"/>
          </font>
        </dxf>
        <dxf>
          <font>
            <sz val="9"/>
            <color theme="0"/>
            <name val="Calibri"/>
            <family val="2"/>
            <scheme val="minor"/>
          </font>
        </dxf>
        <dxf>
          <font>
            <sz val="9"/>
            <color auto="1"/>
            <name val="Calibri"/>
            <family val="2"/>
            <scheme val="minor"/>
          </font>
        </dxf>
        <dxf>
          <font>
            <sz val="10"/>
            <color auto="1"/>
            <name val="Calibri"/>
            <family val="2"/>
            <scheme val="minor"/>
          </font>
        </dxf>
      </x15:dxfs>
    </ext>
    <ext xmlns:x15="http://schemas.microsoft.com/office/spreadsheetml/2010/11/main" uri="{9260A510-F301-46a8-8635-F512D64BE5F5}">
      <x15:timelineStyles defaultTimelineStyle="TimeSlicerStyleLight1">
        <x15:timelineStyle name="Timeline Style 3">
          <x15:timelineStyleElements>
            <x15:timelineStyleElement type="selectionLabel" dxfId="6"/>
            <x15:timelineStyleElement type="timeLevel" dxfId="5"/>
            <x15:timelineStyleElement type="periodLabel1" dxfId="4"/>
            <x15:timelineStyleElement type="periodLabel2" dxfId="3"/>
            <x15:timelineStyleElement type="selectedTimeBlock" dxfId="2"/>
            <x15:timelineStyleElement type="unselectedTimeBlock" dxfId="1"/>
            <x15:timelineStyleElement type="selectedTimeBlockSpace" dxfId="0"/>
          </x15:timelineStyleElements>
        </x15:timelineStyle>
      </x15:timeline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r>
              <a:rPr lang="en-NZ" sz="1800"/>
              <a:t>Total Energy Consumption per Month</a:t>
            </a:r>
          </a:p>
        </c:rich>
      </c:tx>
      <c:layout>
        <c:manualLayout>
          <c:xMode val="edge"/>
          <c:yMode val="edge"/>
          <c:x val="8.8579091547982738E-3"/>
          <c:y val="2.2030363745545331E-2"/>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872537777438015"/>
          <c:y val="0.21422885275553571"/>
          <c:w val="0.70065399417097407"/>
          <c:h val="0.65389157716125224"/>
        </c:manualLayout>
      </c:layout>
      <c:barChart>
        <c:barDir val="col"/>
        <c:grouping val="clustered"/>
        <c:varyColors val="0"/>
        <c:ser>
          <c:idx val="0"/>
          <c:order val="0"/>
          <c:spPr>
            <a:solidFill>
              <a:srgbClr val="317575"/>
            </a:solidFill>
            <a:ln>
              <a:noFill/>
            </a:ln>
            <a:effectLst/>
          </c:spPr>
          <c:invertIfNegative val="0"/>
          <c:cat>
            <c:numRef>
              <c:f>'Energy Calculator'!$B$22:$B$33</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'Energy Calculator'!$H$22:$H$33</c:f>
              <c:numCache>
                <c:formatCode>_-* #,##0_-;\-* #,##0_-;_-*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AD7-44E8-8E5F-3B2D7C29D578}"/>
            </c:ext>
          </c:extLst>
        </c:ser>
        <c:dLbls>
          <c:showLegendKey val="0"/>
          <c:showVal val="0"/>
          <c:showCatName val="0"/>
          <c:showSerName val="0"/>
          <c:showPercent val="0"/>
          <c:showBubbleSize val="0"/>
        </c:dLbls>
        <c:gapWidth val="100"/>
        <c:axId val="538320128"/>
        <c:axId val="993868464"/>
      </c:barChart>
      <c:lineChart>
        <c:grouping val="standard"/>
        <c:varyColors val="0"/>
        <c:ser>
          <c:idx val="1"/>
          <c:order val="1"/>
          <c:tx>
            <c:v>OAT</c:v>
          </c:tx>
          <c:spPr>
            <a:ln w="28575" cap="rnd">
              <a:solidFill>
                <a:srgbClr val="8CD0CE"/>
              </a:solidFill>
              <a:round/>
            </a:ln>
            <a:effectLst/>
          </c:spPr>
          <c:marker>
            <c:symbol val="none"/>
          </c:marker>
          <c:val>
            <c:numRef>
              <c:f>'Background Calcs'!$C$23:$C$34</c:f>
              <c:numCache>
                <c:formatCode>0.0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4C33-4A34-9245-237077F7F84F}"/>
            </c:ext>
          </c:extLst>
        </c:ser>
        <c:dLbls>
          <c:showLegendKey val="0"/>
          <c:showVal val="0"/>
          <c:showCatName val="0"/>
          <c:showSerName val="0"/>
          <c:showPercent val="0"/>
          <c:showBubbleSize val="0"/>
        </c:dLbls>
        <c:marker val="1"/>
        <c:smooth val="0"/>
        <c:axId val="1983674800"/>
        <c:axId val="1979211824"/>
      </c:lineChart>
      <c:dateAx>
        <c:axId val="53832012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993868464"/>
        <c:crosses val="autoZero"/>
        <c:auto val="1"/>
        <c:lblOffset val="100"/>
        <c:baseTimeUnit val="months"/>
      </c:dateAx>
      <c:valAx>
        <c:axId val="993868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Energy Consumption (kWh)</a:t>
                </a:r>
              </a:p>
            </c:rich>
          </c:tx>
          <c:layout>
            <c:manualLayout>
              <c:xMode val="edge"/>
              <c:yMode val="edge"/>
              <c:x val="2.2171554255463615E-2"/>
              <c:y val="0.2949507532413149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538320128"/>
        <c:crosses val="autoZero"/>
        <c:crossBetween val="between"/>
      </c:valAx>
      <c:valAx>
        <c:axId val="1979211824"/>
        <c:scaling>
          <c:orientation val="minMax"/>
        </c:scaling>
        <c:delete val="0"/>
        <c:axPos val="r"/>
        <c:title>
          <c:tx>
            <c:rich>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a:t>Average Outside</a:t>
                </a:r>
              </a:p>
              <a:p>
                <a:pPr>
                  <a:defRPr sz="1200" b="1"/>
                </a:pPr>
                <a:r>
                  <a:rPr lang="en-NZ" sz="1200" b="1"/>
                  <a:t> Air Temperature (°C)</a:t>
                </a:r>
              </a:p>
            </c:rich>
          </c:tx>
          <c:layout>
            <c:manualLayout>
              <c:xMode val="edge"/>
              <c:yMode val="edge"/>
              <c:x val="0.88235412881082187"/>
              <c:y val="0.35044417310315557"/>
            </c:manualLayout>
          </c:layout>
          <c:overlay val="0"/>
          <c:spPr>
            <a:noFill/>
            <a:ln>
              <a:noFill/>
            </a:ln>
            <a:effectLst/>
          </c:spPr>
          <c:txPr>
            <a:bodyPr rot="5400000" spcFirstLastPara="1" vertOverflow="ellipsis"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83674800"/>
        <c:crosses val="max"/>
        <c:crossBetween val="between"/>
      </c:valAx>
      <c:catAx>
        <c:axId val="1983674800"/>
        <c:scaling>
          <c:orientation val="minMax"/>
        </c:scaling>
        <c:delete val="1"/>
        <c:axPos val="b"/>
        <c:majorTickMark val="out"/>
        <c:minorTickMark val="none"/>
        <c:tickLblPos val="nextTo"/>
        <c:crossAx val="1979211824"/>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Franklin Gothic Book" panose="020B05030201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solidFill>
                  <a:sysClr val="windowText" lastClr="000000"/>
                </a:solidFill>
                <a:effectLst/>
                <a:latin typeface="Franklin Gothic Book" panose="020B0503020102020204" pitchFamily="34" charset="0"/>
              </a:rPr>
              <a:t>Emission Breakdown by GHG Contributor</a:t>
            </a:r>
            <a:endParaRPr lang="en-NZ" b="0">
              <a:solidFill>
                <a:sysClr val="windowText" lastClr="000000"/>
              </a:solidFill>
              <a:effectLst/>
              <a:latin typeface="Franklin Gothic Book" panose="020B0503020102020204" pitchFamily="34" charset="0"/>
            </a:endParaRPr>
          </a:p>
        </c:rich>
      </c:tx>
      <c:layout>
        <c:manualLayout>
          <c:xMode val="edge"/>
          <c:yMode val="edge"/>
          <c:x val="1.146229604100930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272406435246004"/>
          <c:y val="0.1389455943934958"/>
          <c:w val="0.41030903359782156"/>
          <c:h val="0.69909023455061825"/>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B0-447E-A19D-2AF7E5504D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B0-447E-A19D-2AF7E5504D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B0-447E-A19D-2AF7E5504D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B0-447E-A19D-2AF7E5504D7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ln>
                      <a:noFill/>
                    </a:ln>
                    <a:solidFill>
                      <a:sysClr val="windowText" lastClr="000000"/>
                    </a:solidFill>
                    <a:latin typeface="Franklin Gothic Book" panose="020B0503020102020204" pitchFamily="34" charset="0"/>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bg1"/>
                  </a:solidFill>
                  <a:round/>
                </a:ln>
                <a:effectLst/>
              </c:spPr>
            </c:leaderLines>
            <c:extLst>
              <c:ext xmlns:c15="http://schemas.microsoft.com/office/drawing/2012/chart" uri="{CE6537A1-D6FC-4f65-9D91-7224C49458BB}"/>
            </c:extLst>
          </c:dLbls>
          <c:cat>
            <c:strRef>
              <c:f>'Background Calcs'!$C$4:$G$4</c:f>
              <c:strCache>
                <c:ptCount val="5"/>
                <c:pt idx="0">
                  <c:v>Electricity </c:v>
                </c:pt>
                <c:pt idx="1">
                  <c:v>Diesel</c:v>
                </c:pt>
                <c:pt idx="2">
                  <c:v>LPG</c:v>
                </c:pt>
                <c:pt idx="3">
                  <c:v>Natural Gas (GJ)</c:v>
                </c:pt>
                <c:pt idx="4">
                  <c:v>Total</c:v>
                </c:pt>
              </c:strCache>
            </c:strRef>
          </c:cat>
          <c:val>
            <c:numRef>
              <c:f>'Background Calcs'!$C$19:$F$19</c:f>
              <c:numCache>
                <c:formatCode>#,##0</c:formatCode>
                <c:ptCount val="4"/>
                <c:pt idx="0">
                  <c:v>0</c:v>
                </c:pt>
                <c:pt idx="1">
                  <c:v>0</c:v>
                </c:pt>
                <c:pt idx="2">
                  <c:v>0</c:v>
                </c:pt>
                <c:pt idx="3">
                  <c:v>0</c:v>
                </c:pt>
              </c:numCache>
            </c:numRef>
          </c:val>
          <c:extLst>
            <c:ext xmlns:c16="http://schemas.microsoft.com/office/drawing/2014/chart" uri="{C3380CC4-5D6E-409C-BE32-E72D297353CC}">
              <c16:uniqueId val="{0000000C-94B0-447E-A19D-2AF7E5504D7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r>
              <a:rPr lang="en-NZ" sz="1800" b="0" i="0" baseline="0">
                <a:effectLst/>
                <a:latin typeface="Franklin Gothic Book" panose="020B0503020102020204" pitchFamily="34" charset="0"/>
              </a:rPr>
              <a:t>Total Carbon Emissions per Month </a:t>
            </a:r>
            <a:endParaRPr lang="en-NZ" b="0">
              <a:effectLst/>
              <a:latin typeface="Franklin Gothic Book" panose="020B0503020102020204" pitchFamily="34" charset="0"/>
            </a:endParaRPr>
          </a:p>
        </c:rich>
      </c:tx>
      <c:layout>
        <c:manualLayout>
          <c:xMode val="edge"/>
          <c:yMode val="edge"/>
          <c:x val="1.165109415755379E-2"/>
          <c:y val="1.92887318114473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ysClr val="windowText" lastClr="000000"/>
              </a:solidFill>
              <a:latin typeface="Franklin Gothic Book" panose="020B0503020102020204" pitchFamily="34" charset="0"/>
              <a:ea typeface="+mn-ea"/>
              <a:cs typeface="+mn-cs"/>
            </a:defRPr>
          </a:pPr>
          <a:endParaRPr lang="en-US"/>
        </a:p>
      </c:txPr>
    </c:title>
    <c:autoTitleDeleted val="0"/>
    <c:plotArea>
      <c:layout>
        <c:manualLayout>
          <c:layoutTarget val="inner"/>
          <c:xMode val="edge"/>
          <c:yMode val="edge"/>
          <c:x val="0.13071334771776569"/>
          <c:y val="0.2177217501714343"/>
          <c:w val="0.70201654331637975"/>
          <c:h val="0.712918931890273"/>
        </c:manualLayout>
      </c:layout>
      <c:barChart>
        <c:barDir val="col"/>
        <c:grouping val="stacked"/>
        <c:varyColors val="0"/>
        <c:ser>
          <c:idx val="0"/>
          <c:order val="0"/>
          <c:tx>
            <c:strRef>
              <c:f>'Background Calcs'!$C$4</c:f>
              <c:strCache>
                <c:ptCount val="1"/>
                <c:pt idx="0">
                  <c:v>Electricity </c:v>
                </c:pt>
              </c:strCache>
            </c:strRef>
          </c:tx>
          <c:spPr>
            <a:solidFill>
              <a:schemeClr val="accent1"/>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Calcs'!$C$5:$C$16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F73-4094-8CEF-1DEB819D9F6B}"/>
            </c:ext>
          </c:extLst>
        </c:ser>
        <c:ser>
          <c:idx val="1"/>
          <c:order val="1"/>
          <c:tx>
            <c:strRef>
              <c:f>'Background Calcs'!$D$4</c:f>
              <c:strCache>
                <c:ptCount val="1"/>
                <c:pt idx="0">
                  <c:v>Diesel</c:v>
                </c:pt>
              </c:strCache>
            </c:strRef>
          </c:tx>
          <c:spPr>
            <a:solidFill>
              <a:srgbClr val="3E9694"/>
            </a:solidFill>
            <a:ln>
              <a:noFill/>
            </a:ln>
            <a:effectLst/>
          </c:spPr>
          <c:invertIfNegative val="0"/>
          <c:cat>
            <c:numRef>
              <c:f>'Background Calcs'!$B$5:$B$16</c:f>
              <c:numCache>
                <c:formatCode>mmm\-yy</c:formatCode>
                <c:ptCount val="12"/>
                <c:pt idx="0">
                  <c:v>0</c:v>
                </c:pt>
                <c:pt idx="1">
                  <c:v>32</c:v>
                </c:pt>
                <c:pt idx="2">
                  <c:v>61</c:v>
                </c:pt>
                <c:pt idx="3">
                  <c:v>92</c:v>
                </c:pt>
                <c:pt idx="4">
                  <c:v>122</c:v>
                </c:pt>
                <c:pt idx="5">
                  <c:v>153</c:v>
                </c:pt>
                <c:pt idx="6">
                  <c:v>183</c:v>
                </c:pt>
                <c:pt idx="7">
                  <c:v>214</c:v>
                </c:pt>
                <c:pt idx="8">
                  <c:v>245</c:v>
                </c:pt>
                <c:pt idx="9">
                  <c:v>275</c:v>
                </c:pt>
                <c:pt idx="10">
                  <c:v>306</c:v>
                </c:pt>
                <c:pt idx="11">
                  <c:v>336</c:v>
                </c:pt>
              </c:numCache>
            </c:numRef>
          </c:cat>
          <c:val>
            <c:numRef>
              <c:f>'Background Calcs'!$D$5:$D$16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E06-4AB5-AD22-AA54C7B001BB}"/>
            </c:ext>
          </c:extLst>
        </c:ser>
        <c:ser>
          <c:idx val="2"/>
          <c:order val="2"/>
          <c:tx>
            <c:strRef>
              <c:f>'Background Calcs'!$E$4</c:f>
              <c:strCache>
                <c:ptCount val="1"/>
                <c:pt idx="0">
                  <c:v>LPG</c:v>
                </c:pt>
              </c:strCache>
            </c:strRef>
          </c:tx>
          <c:spPr>
            <a:solidFill>
              <a:schemeClr val="accent3"/>
            </a:solidFill>
            <a:ln>
              <a:noFill/>
            </a:ln>
            <a:effectLst/>
          </c:spPr>
          <c:invertIfNegative val="0"/>
          <c:val>
            <c:numRef>
              <c:f>'Background Calcs'!$E$5:$E$16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E06-4AB5-AD22-AA54C7B001BB}"/>
            </c:ext>
          </c:extLst>
        </c:ser>
        <c:ser>
          <c:idx val="3"/>
          <c:order val="3"/>
          <c:tx>
            <c:strRef>
              <c:f>'Background Calcs'!$F$4</c:f>
              <c:strCache>
                <c:ptCount val="1"/>
                <c:pt idx="0">
                  <c:v>Natural Gas (GJ)</c:v>
                </c:pt>
              </c:strCache>
            </c:strRef>
          </c:tx>
          <c:spPr>
            <a:solidFill>
              <a:schemeClr val="accent4"/>
            </a:solidFill>
            <a:ln>
              <a:noFill/>
            </a:ln>
            <a:effectLst/>
          </c:spPr>
          <c:invertIfNegative val="0"/>
          <c:val>
            <c:numRef>
              <c:f>'Background Calcs'!$F$5:$F$16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9794-49C0-BF25-AE0AF132615F}"/>
            </c:ext>
          </c:extLst>
        </c:ser>
        <c:dLbls>
          <c:showLegendKey val="0"/>
          <c:showVal val="0"/>
          <c:showCatName val="0"/>
          <c:showSerName val="0"/>
          <c:showPercent val="0"/>
          <c:showBubbleSize val="0"/>
        </c:dLbls>
        <c:gapWidth val="100"/>
        <c:overlap val="100"/>
        <c:axId val="12722687"/>
        <c:axId val="1995681695"/>
      </c:barChart>
      <c:dateAx>
        <c:axId val="1272268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995681695"/>
        <c:crosses val="autoZero"/>
        <c:auto val="1"/>
        <c:lblOffset val="100"/>
        <c:baseTimeUnit val="months"/>
      </c:dateAx>
      <c:valAx>
        <c:axId val="19956816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r>
                  <a:rPr lang="en-NZ" sz="1200" b="1" i="0" u="none" strike="noStrike" baseline="0">
                    <a:solidFill>
                      <a:sysClr val="windowText" lastClr="000000"/>
                    </a:solidFill>
                    <a:effectLst/>
                    <a:latin typeface="Franklin Gothic Book" panose="020B0503020102020204" pitchFamily="34" charset="0"/>
                  </a:rPr>
                  <a:t>Carbon Emissions (T CO</a:t>
                </a:r>
                <a:r>
                  <a:rPr lang="en-NZ" sz="1200" b="1" i="0" u="none" strike="noStrike" baseline="-25000">
                    <a:solidFill>
                      <a:sysClr val="windowText" lastClr="000000"/>
                    </a:solidFill>
                    <a:effectLst/>
                    <a:latin typeface="Franklin Gothic Book" panose="020B0503020102020204" pitchFamily="34" charset="0"/>
                  </a:rPr>
                  <a:t>2</a:t>
                </a:r>
                <a:r>
                  <a:rPr lang="en-NZ" sz="1200" b="1" i="0" u="none" strike="noStrike" baseline="0">
                    <a:solidFill>
                      <a:sysClr val="windowText" lastClr="000000"/>
                    </a:solidFill>
                    <a:effectLst/>
                    <a:latin typeface="Franklin Gothic Book" panose="020B0503020102020204" pitchFamily="34" charset="0"/>
                  </a:rPr>
                  <a:t>-e)</a:t>
                </a:r>
                <a:endParaRPr lang="en-NZ" sz="1200" b="1">
                  <a:solidFill>
                    <a:sysClr val="windowText" lastClr="000000"/>
                  </a:solidFill>
                  <a:latin typeface="Franklin Gothic Book" panose="020B0503020102020204" pitchFamily="34" charset="0"/>
                </a:endParaRPr>
              </a:p>
            </c:rich>
          </c:tx>
          <c:layout>
            <c:manualLayout>
              <c:xMode val="edge"/>
              <c:yMode val="edge"/>
              <c:x val="3.1910064543008175E-2"/>
              <c:y val="0.3470925654089249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Franklin Gothic Book" panose="020B05030201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Franklin Gothic Book" panose="020B0503020102020204" pitchFamily="34" charset="0"/>
                <a:ea typeface="+mn-ea"/>
                <a:cs typeface="+mn-cs"/>
              </a:defRPr>
            </a:pPr>
            <a:endParaRPr lang="en-US"/>
          </a:p>
        </c:txPr>
        <c:crossAx val="12722687"/>
        <c:crosses val="autoZero"/>
        <c:crossBetween val="between"/>
      </c:valAx>
      <c:spPr>
        <a:noFill/>
        <a:ln>
          <a:noFill/>
        </a:ln>
        <a:effectLst/>
      </c:spPr>
    </c:plotArea>
    <c:legend>
      <c:legendPos val="r"/>
      <c:layout>
        <c:manualLayout>
          <c:xMode val="edge"/>
          <c:yMode val="edge"/>
          <c:x val="0.86852083613965048"/>
          <c:y val="0.25425472213214906"/>
          <c:w val="0.11946997779123764"/>
          <c:h val="0.20939133419550421"/>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Franklin Gothic Book" panose="020B05030201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16</xdr:col>
      <xdr:colOff>1894999</xdr:colOff>
      <xdr:row>0</xdr:row>
      <xdr:rowOff>234316</xdr:rowOff>
    </xdr:from>
    <xdr:to>
      <xdr:col>17</xdr:col>
      <xdr:colOff>53499</xdr:colOff>
      <xdr:row>0</xdr:row>
      <xdr:rowOff>1354274</xdr:rowOff>
    </xdr:to>
    <xdr:pic>
      <xdr:nvPicPr>
        <xdr:cNvPr id="2" name="Picture 2">
          <a:extLst>
            <a:ext uri="{FF2B5EF4-FFF2-40B4-BE49-F238E27FC236}">
              <a16:creationId xmlns:a16="http://schemas.microsoft.com/office/drawing/2014/main" id="{CBF9D3B6-BDA2-4EA9-9ED9-DF3D7DD4A2C9}"/>
            </a:ext>
          </a:extLst>
        </xdr:cNvPr>
        <xdr:cNvPicPr>
          <a:picLocks noChangeAspect="1"/>
        </xdr:cNvPicPr>
      </xdr:nvPicPr>
      <xdr:blipFill>
        <a:blip xmlns:r="http://schemas.openxmlformats.org/officeDocument/2006/relationships" r:embed="rId1"/>
        <a:stretch>
          <a:fillRect/>
        </a:stretch>
      </xdr:blipFill>
      <xdr:spPr>
        <a:xfrm>
          <a:off x="16018669" y="236221"/>
          <a:ext cx="1922780" cy="1106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678656</xdr:colOff>
      <xdr:row>0</xdr:row>
      <xdr:rowOff>238125</xdr:rowOff>
    </xdr:from>
    <xdr:to>
      <xdr:col>15</xdr:col>
      <xdr:colOff>169752</xdr:colOff>
      <xdr:row>0</xdr:row>
      <xdr:rowOff>1349193</xdr:rowOff>
    </xdr:to>
    <xdr:pic>
      <xdr:nvPicPr>
        <xdr:cNvPr id="5" name="Picture 4">
          <a:extLst>
            <a:ext uri="{FF2B5EF4-FFF2-40B4-BE49-F238E27FC236}">
              <a16:creationId xmlns:a16="http://schemas.microsoft.com/office/drawing/2014/main" id="{E5EBEE97-2773-467E-9AF7-6531A7BB3149}"/>
            </a:ext>
          </a:extLst>
        </xdr:cNvPr>
        <xdr:cNvPicPr>
          <a:picLocks noChangeAspect="1"/>
        </xdr:cNvPicPr>
      </xdr:nvPicPr>
      <xdr:blipFill>
        <a:blip xmlns:r="http://schemas.openxmlformats.org/officeDocument/2006/relationships" r:embed="rId1"/>
        <a:stretch>
          <a:fillRect/>
        </a:stretch>
      </xdr:blipFill>
      <xdr:spPr>
        <a:xfrm>
          <a:off x="16323469" y="238125"/>
          <a:ext cx="1891872"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66675</xdr:rowOff>
    </xdr:from>
    <xdr:to>
      <xdr:col>20</xdr:col>
      <xdr:colOff>0</xdr:colOff>
      <xdr:row>30</xdr:row>
      <xdr:rowOff>50613</xdr:rowOff>
    </xdr:to>
    <xdr:graphicFrame macro="">
      <xdr:nvGraphicFramePr>
        <xdr:cNvPr id="2" name="Chart 1">
          <a:extLst>
            <a:ext uri="{FF2B5EF4-FFF2-40B4-BE49-F238E27FC236}">
              <a16:creationId xmlns:a16="http://schemas.microsoft.com/office/drawing/2014/main" id="{E18F1C37-7847-4648-8B4B-B4B597040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64</xdr:row>
      <xdr:rowOff>81242</xdr:rowOff>
    </xdr:from>
    <xdr:to>
      <xdr:col>20</xdr:col>
      <xdr:colOff>0</xdr:colOff>
      <xdr:row>98</xdr:row>
      <xdr:rowOff>170330</xdr:rowOff>
    </xdr:to>
    <xdr:graphicFrame macro="">
      <xdr:nvGraphicFramePr>
        <xdr:cNvPr id="3" name="Chart 2">
          <a:extLst>
            <a:ext uri="{FF2B5EF4-FFF2-40B4-BE49-F238E27FC236}">
              <a16:creationId xmlns:a16="http://schemas.microsoft.com/office/drawing/2014/main" id="{111F225D-9370-4C6B-BB5F-A3515FD970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32</xdr:row>
      <xdr:rowOff>133351</xdr:rowOff>
    </xdr:from>
    <xdr:to>
      <xdr:col>20</xdr:col>
      <xdr:colOff>57150</xdr:colOff>
      <xdr:row>60</xdr:row>
      <xdr:rowOff>66675</xdr:rowOff>
    </xdr:to>
    <xdr:graphicFrame macro="">
      <xdr:nvGraphicFramePr>
        <xdr:cNvPr id="4" name="Chart 3">
          <a:extLst>
            <a:ext uri="{FF2B5EF4-FFF2-40B4-BE49-F238E27FC236}">
              <a16:creationId xmlns:a16="http://schemas.microsoft.com/office/drawing/2014/main" id="{2DB5F32B-715F-407A-8C85-7A917A66B0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16</xdr:col>
      <xdr:colOff>142875</xdr:colOff>
      <xdr:row>0</xdr:row>
      <xdr:rowOff>228600</xdr:rowOff>
    </xdr:from>
    <xdr:to>
      <xdr:col>19</xdr:col>
      <xdr:colOff>179005</xdr:colOff>
      <xdr:row>0</xdr:row>
      <xdr:rowOff>1333953</xdr:rowOff>
    </xdr:to>
    <xdr:pic>
      <xdr:nvPicPr>
        <xdr:cNvPr id="6" name="Picture 5">
          <a:extLst>
            <a:ext uri="{FF2B5EF4-FFF2-40B4-BE49-F238E27FC236}">
              <a16:creationId xmlns:a16="http://schemas.microsoft.com/office/drawing/2014/main" id="{62C1882D-9017-4022-A459-6B9CA2C31130}"/>
            </a:ext>
          </a:extLst>
        </xdr:cNvPr>
        <xdr:cNvPicPr>
          <a:picLocks noChangeAspect="1"/>
        </xdr:cNvPicPr>
      </xdr:nvPicPr>
      <xdr:blipFill>
        <a:blip xmlns:r="http://schemas.openxmlformats.org/officeDocument/2006/relationships" r:embed="rId4"/>
        <a:stretch>
          <a:fillRect/>
        </a:stretch>
      </xdr:blipFill>
      <xdr:spPr>
        <a:xfrm>
          <a:off x="10201275" y="228600"/>
          <a:ext cx="1923985" cy="11053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401507</xdr:colOff>
      <xdr:row>21</xdr:row>
      <xdr:rowOff>96534</xdr:rowOff>
    </xdr:from>
    <xdr:to>
      <xdr:col>36</xdr:col>
      <xdr:colOff>115869</xdr:colOff>
      <xdr:row>35</xdr:row>
      <xdr:rowOff>129725</xdr:rowOff>
    </xdr:to>
    <xdr:pic>
      <xdr:nvPicPr>
        <xdr:cNvPr id="27" name="Picture 26">
          <a:extLst>
            <a:ext uri="{FF2B5EF4-FFF2-40B4-BE49-F238E27FC236}">
              <a16:creationId xmlns:a16="http://schemas.microsoft.com/office/drawing/2014/main" id="{115CD2B4-F22D-5216-DE07-53A3789CFCBB}"/>
            </a:ext>
          </a:extLst>
        </xdr:cNvPr>
        <xdr:cNvPicPr>
          <a:picLocks noChangeAspect="1"/>
        </xdr:cNvPicPr>
      </xdr:nvPicPr>
      <xdr:blipFill>
        <a:blip xmlns:r="http://schemas.openxmlformats.org/officeDocument/2006/relationships" r:embed="rId1"/>
        <a:stretch>
          <a:fillRect/>
        </a:stretch>
      </xdr:blipFill>
      <xdr:spPr>
        <a:xfrm>
          <a:off x="11898742" y="3861710"/>
          <a:ext cx="10001362" cy="2543309"/>
        </a:xfrm>
        <a:prstGeom prst="rect">
          <a:avLst/>
        </a:prstGeom>
      </xdr:spPr>
    </xdr:pic>
    <xdr:clientData/>
  </xdr:twoCellAnchor>
  <xdr:twoCellAnchor editAs="oneCell">
    <xdr:from>
      <xdr:col>2</xdr:col>
      <xdr:colOff>67236</xdr:colOff>
      <xdr:row>13</xdr:row>
      <xdr:rowOff>13111</xdr:rowOff>
    </xdr:from>
    <xdr:to>
      <xdr:col>18</xdr:col>
      <xdr:colOff>475374</xdr:colOff>
      <xdr:row>34</xdr:row>
      <xdr:rowOff>164447</xdr:rowOff>
    </xdr:to>
    <xdr:pic>
      <xdr:nvPicPr>
        <xdr:cNvPr id="3" name="Picture 2">
          <a:extLst>
            <a:ext uri="{FF2B5EF4-FFF2-40B4-BE49-F238E27FC236}">
              <a16:creationId xmlns:a16="http://schemas.microsoft.com/office/drawing/2014/main" id="{0879A106-5D31-5957-B05C-7B4A17060942}"/>
            </a:ext>
          </a:extLst>
        </xdr:cNvPr>
        <xdr:cNvPicPr>
          <a:picLocks noChangeAspect="1"/>
        </xdr:cNvPicPr>
      </xdr:nvPicPr>
      <xdr:blipFill>
        <a:blip xmlns:r="http://schemas.openxmlformats.org/officeDocument/2006/relationships" r:embed="rId2"/>
        <a:stretch>
          <a:fillRect/>
        </a:stretch>
      </xdr:blipFill>
      <xdr:spPr>
        <a:xfrm>
          <a:off x="1277471" y="2343935"/>
          <a:ext cx="10090021" cy="3916512"/>
        </a:xfrm>
        <a:prstGeom prst="rect">
          <a:avLst/>
        </a:prstGeom>
      </xdr:spPr>
    </xdr:pic>
    <xdr:clientData/>
  </xdr:twoCellAnchor>
  <xdr:twoCellAnchor>
    <xdr:from>
      <xdr:col>1</xdr:col>
      <xdr:colOff>58233</xdr:colOff>
      <xdr:row>13</xdr:row>
      <xdr:rowOff>103430</xdr:rowOff>
    </xdr:from>
    <xdr:to>
      <xdr:col>2</xdr:col>
      <xdr:colOff>587151</xdr:colOff>
      <xdr:row>18</xdr:row>
      <xdr:rowOff>130737</xdr:rowOff>
    </xdr:to>
    <xdr:sp macro="" textlink="">
      <xdr:nvSpPr>
        <xdr:cNvPr id="4" name="Callout: Right Arrow 3">
          <a:extLst>
            <a:ext uri="{FF2B5EF4-FFF2-40B4-BE49-F238E27FC236}">
              <a16:creationId xmlns:a16="http://schemas.microsoft.com/office/drawing/2014/main" id="{D290A466-C44C-9F66-BBE3-EC50755164F3}"/>
            </a:ext>
          </a:extLst>
        </xdr:cNvPr>
        <xdr:cNvSpPr/>
      </xdr:nvSpPr>
      <xdr:spPr>
        <a:xfrm>
          <a:off x="663351" y="2434254"/>
          <a:ext cx="1134035" cy="923777"/>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site name for your own reference </a:t>
          </a:r>
        </a:p>
      </xdr:txBody>
    </xdr:sp>
    <xdr:clientData/>
  </xdr:twoCellAnchor>
  <xdr:twoCellAnchor>
    <xdr:from>
      <xdr:col>2</xdr:col>
      <xdr:colOff>409637</xdr:colOff>
      <xdr:row>4</xdr:row>
      <xdr:rowOff>40453</xdr:rowOff>
    </xdr:from>
    <xdr:to>
      <xdr:col>4</xdr:col>
      <xdr:colOff>542988</xdr:colOff>
      <xdr:row>13</xdr:row>
      <xdr:rowOff>139513</xdr:rowOff>
    </xdr:to>
    <xdr:sp macro="" textlink="">
      <xdr:nvSpPr>
        <xdr:cNvPr id="6" name="Callout: Down Arrow 5">
          <a:extLst>
            <a:ext uri="{FF2B5EF4-FFF2-40B4-BE49-F238E27FC236}">
              <a16:creationId xmlns:a16="http://schemas.microsoft.com/office/drawing/2014/main" id="{E17BFE7A-5A1D-17C8-2A33-32AF2CB73D59}"/>
            </a:ext>
          </a:extLst>
        </xdr:cNvPr>
        <xdr:cNvSpPr/>
      </xdr:nvSpPr>
      <xdr:spPr>
        <a:xfrm>
          <a:off x="1619872" y="757629"/>
          <a:ext cx="1343587" cy="1712708"/>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start date for data entry. Date will change  to reflect start date entered </a:t>
          </a:r>
        </a:p>
      </xdr:txBody>
    </xdr:sp>
    <xdr:clientData/>
  </xdr:twoCellAnchor>
  <xdr:twoCellAnchor>
    <xdr:from>
      <xdr:col>5</xdr:col>
      <xdr:colOff>340658</xdr:colOff>
      <xdr:row>4</xdr:row>
      <xdr:rowOff>15477</xdr:rowOff>
    </xdr:from>
    <xdr:to>
      <xdr:col>7</xdr:col>
      <xdr:colOff>569258</xdr:colOff>
      <xdr:row>13</xdr:row>
      <xdr:rowOff>149673</xdr:rowOff>
    </xdr:to>
    <xdr:sp macro="" textlink="">
      <xdr:nvSpPr>
        <xdr:cNvPr id="7" name="Callout: Down Arrow 6">
          <a:extLst>
            <a:ext uri="{FF2B5EF4-FFF2-40B4-BE49-F238E27FC236}">
              <a16:creationId xmlns:a16="http://schemas.microsoft.com/office/drawing/2014/main" id="{62EA7708-0F0B-4678-926D-80A75191ADD5}"/>
            </a:ext>
          </a:extLst>
        </xdr:cNvPr>
        <xdr:cNvSpPr/>
      </xdr:nvSpPr>
      <xdr:spPr>
        <a:xfrm>
          <a:off x="3366246" y="732653"/>
          <a:ext cx="1438836" cy="1747844"/>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region site is located. This will pull the average weather data for comparison in the summary graphs </a:t>
          </a:r>
        </a:p>
      </xdr:txBody>
    </xdr:sp>
    <xdr:clientData/>
  </xdr:twoCellAnchor>
  <xdr:twoCellAnchor>
    <xdr:from>
      <xdr:col>9</xdr:col>
      <xdr:colOff>93308</xdr:colOff>
      <xdr:row>4</xdr:row>
      <xdr:rowOff>122306</xdr:rowOff>
    </xdr:from>
    <xdr:to>
      <xdr:col>11</xdr:col>
      <xdr:colOff>232372</xdr:colOff>
      <xdr:row>14</xdr:row>
      <xdr:rowOff>84207</xdr:rowOff>
    </xdr:to>
    <xdr:sp macro="" textlink="">
      <xdr:nvSpPr>
        <xdr:cNvPr id="8" name="Callout: Down Arrow 7">
          <a:extLst>
            <a:ext uri="{FF2B5EF4-FFF2-40B4-BE49-F238E27FC236}">
              <a16:creationId xmlns:a16="http://schemas.microsoft.com/office/drawing/2014/main" id="{BD6A99B0-8DB2-4FE8-B49C-2EE8952A7198}"/>
            </a:ext>
          </a:extLst>
        </xdr:cNvPr>
        <xdr:cNvSpPr/>
      </xdr:nvSpPr>
      <xdr:spPr>
        <a:xfrm>
          <a:off x="5539367" y="884306"/>
          <a:ext cx="1349299" cy="186690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Enter total area of poultry floor</a:t>
          </a:r>
          <a:r>
            <a:rPr lang="en-NZ" sz="1100" baseline="0">
              <a:solidFill>
                <a:schemeClr val="bg1"/>
              </a:solidFill>
              <a:latin typeface="+mn-lt"/>
              <a:ea typeface="+mn-ea"/>
              <a:cs typeface="+mn-cs"/>
            </a:rPr>
            <a:t> space. option to have 4 separate houses </a:t>
          </a:r>
          <a:endParaRPr lang="en-NZ" sz="1100">
            <a:solidFill>
              <a:schemeClr val="bg1"/>
            </a:solidFill>
            <a:latin typeface="+mn-lt"/>
            <a:ea typeface="+mn-ea"/>
            <a:cs typeface="+mn-cs"/>
          </a:endParaRPr>
        </a:p>
      </xdr:txBody>
    </xdr:sp>
    <xdr:clientData/>
  </xdr:twoCellAnchor>
  <xdr:twoCellAnchor>
    <xdr:from>
      <xdr:col>13</xdr:col>
      <xdr:colOff>93968</xdr:colOff>
      <xdr:row>4</xdr:row>
      <xdr:rowOff>102607</xdr:rowOff>
    </xdr:from>
    <xdr:to>
      <xdr:col>15</xdr:col>
      <xdr:colOff>227317</xdr:colOff>
      <xdr:row>14</xdr:row>
      <xdr:rowOff>34438</xdr:rowOff>
    </xdr:to>
    <xdr:sp macro="" textlink="">
      <xdr:nvSpPr>
        <xdr:cNvPr id="9" name="Callout: Down Arrow 8">
          <a:extLst>
            <a:ext uri="{FF2B5EF4-FFF2-40B4-BE49-F238E27FC236}">
              <a16:creationId xmlns:a16="http://schemas.microsoft.com/office/drawing/2014/main" id="{AC8DFAA1-C2D8-4E4D-AFA3-74E8C45EB5F6}"/>
            </a:ext>
          </a:extLst>
        </xdr:cNvPr>
        <xdr:cNvSpPr/>
      </xdr:nvSpPr>
      <xdr:spPr>
        <a:xfrm>
          <a:off x="7960497" y="819783"/>
          <a:ext cx="1343585" cy="1724773"/>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The grey cell calculates the</a:t>
          </a:r>
          <a:r>
            <a:rPr lang="en-NZ" sz="1100" baseline="0">
              <a:solidFill>
                <a:schemeClr val="bg1"/>
              </a:solidFill>
              <a:latin typeface="+mn-lt"/>
              <a:ea typeface="+mn-ea"/>
              <a:cs typeface="+mn-cs"/>
            </a:rPr>
            <a:t> total area by summing up each house floor area</a:t>
          </a:r>
          <a:endParaRPr lang="en-NZ" sz="1100">
            <a:solidFill>
              <a:schemeClr val="bg1"/>
            </a:solidFill>
            <a:latin typeface="+mn-lt"/>
            <a:ea typeface="+mn-ea"/>
            <a:cs typeface="+mn-cs"/>
          </a:endParaRPr>
        </a:p>
      </xdr:txBody>
    </xdr:sp>
    <xdr:clientData/>
  </xdr:twoCellAnchor>
  <xdr:twoCellAnchor>
    <xdr:from>
      <xdr:col>0</xdr:col>
      <xdr:colOff>192255</xdr:colOff>
      <xdr:row>20</xdr:row>
      <xdr:rowOff>135143</xdr:rowOff>
    </xdr:from>
    <xdr:to>
      <xdr:col>2</xdr:col>
      <xdr:colOff>116055</xdr:colOff>
      <xdr:row>32</xdr:row>
      <xdr:rowOff>20618</xdr:rowOff>
    </xdr:to>
    <xdr:sp macro="" textlink="">
      <xdr:nvSpPr>
        <xdr:cNvPr id="10" name="Callout: Right Arrow 9">
          <a:extLst>
            <a:ext uri="{FF2B5EF4-FFF2-40B4-BE49-F238E27FC236}">
              <a16:creationId xmlns:a16="http://schemas.microsoft.com/office/drawing/2014/main" id="{61950459-51E8-4C02-968A-89678EDE14F9}"/>
            </a:ext>
          </a:extLst>
        </xdr:cNvPr>
        <xdr:cNvSpPr/>
      </xdr:nvSpPr>
      <xdr:spPr>
        <a:xfrm>
          <a:off x="192255" y="3721025"/>
          <a:ext cx="1134035" cy="2037005"/>
        </a:xfrm>
        <a:prstGeom prst="rightArrowCallout">
          <a:avLst/>
        </a:prstGeom>
        <a:solidFill>
          <a:srgbClr val="164057"/>
        </a:solidFill>
        <a:ln>
          <a:solidFill>
            <a:sysClr val="windowText" lastClr="000000"/>
          </a:solidFill>
        </a:ln>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r>
            <a:rPr lang="en-NZ" sz="1100">
              <a:solidFill>
                <a:schemeClr val="bg1"/>
              </a:solidFill>
            </a:rPr>
            <a:t>Enter energy and</a:t>
          </a:r>
          <a:r>
            <a:rPr lang="en-NZ" sz="1100" baseline="0">
              <a:solidFill>
                <a:schemeClr val="bg1"/>
              </a:solidFill>
            </a:rPr>
            <a:t> fuel use over each month. </a:t>
          </a:r>
        </a:p>
        <a:p>
          <a:pPr algn="l"/>
          <a:r>
            <a:rPr lang="en-NZ" sz="1100" baseline="0">
              <a:solidFill>
                <a:schemeClr val="bg1"/>
              </a:solidFill>
            </a:rPr>
            <a:t>These can be found on invoices or bills</a:t>
          </a:r>
          <a:endParaRPr lang="en-NZ" sz="1100">
            <a:solidFill>
              <a:schemeClr val="bg1"/>
            </a:solidFill>
          </a:endParaRPr>
        </a:p>
      </xdr:txBody>
    </xdr:sp>
    <xdr:clientData/>
  </xdr:twoCellAnchor>
  <xdr:twoCellAnchor>
    <xdr:from>
      <xdr:col>2</xdr:col>
      <xdr:colOff>190500</xdr:colOff>
      <xdr:row>33</xdr:row>
      <xdr:rowOff>116416</xdr:rowOff>
    </xdr:from>
    <xdr:to>
      <xdr:col>5</xdr:col>
      <xdr:colOff>218440</xdr:colOff>
      <xdr:row>43</xdr:row>
      <xdr:rowOff>146261</xdr:rowOff>
    </xdr:to>
    <xdr:sp macro="" textlink="">
      <xdr:nvSpPr>
        <xdr:cNvPr id="5" name="Callout: Up Arrow 4">
          <a:extLst>
            <a:ext uri="{FF2B5EF4-FFF2-40B4-BE49-F238E27FC236}">
              <a16:creationId xmlns:a16="http://schemas.microsoft.com/office/drawing/2014/main" id="{38B8387B-7ACA-72FA-8A02-A2A6323C96F5}"/>
            </a:ext>
          </a:extLst>
        </xdr:cNvPr>
        <xdr:cNvSpPr/>
      </xdr:nvSpPr>
      <xdr:spPr>
        <a:xfrm>
          <a:off x="1400735" y="6033122"/>
          <a:ext cx="1843293" cy="1822786"/>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Input the amount of purchased electricity and electricity generated on site</a:t>
          </a:r>
          <a:r>
            <a:rPr lang="en-NZ" sz="1100" baseline="0">
              <a:solidFill>
                <a:schemeClr val="bg1"/>
              </a:solidFill>
            </a:rPr>
            <a:t> (for example solar)</a:t>
          </a:r>
          <a:endParaRPr lang="en-NZ" sz="1100">
            <a:solidFill>
              <a:schemeClr val="bg1"/>
            </a:solidFill>
          </a:endParaRPr>
        </a:p>
      </xdr:txBody>
    </xdr:sp>
    <xdr:clientData/>
  </xdr:twoCellAnchor>
  <xdr:twoCellAnchor>
    <xdr:from>
      <xdr:col>5</xdr:col>
      <xdr:colOff>254425</xdr:colOff>
      <xdr:row>33</xdr:row>
      <xdr:rowOff>154304</xdr:rowOff>
    </xdr:from>
    <xdr:to>
      <xdr:col>8</xdr:col>
      <xdr:colOff>402166</xdr:colOff>
      <xdr:row>43</xdr:row>
      <xdr:rowOff>116416</xdr:rowOff>
    </xdr:to>
    <xdr:sp macro="" textlink="">
      <xdr:nvSpPr>
        <xdr:cNvPr id="11" name="Callout: Up Arrow 10">
          <a:extLst>
            <a:ext uri="{FF2B5EF4-FFF2-40B4-BE49-F238E27FC236}">
              <a16:creationId xmlns:a16="http://schemas.microsoft.com/office/drawing/2014/main" id="{7855C48D-8A00-4279-978D-144D7E7E352E}"/>
            </a:ext>
          </a:extLst>
        </xdr:cNvPr>
        <xdr:cNvSpPr/>
      </xdr:nvSpPr>
      <xdr:spPr>
        <a:xfrm>
          <a:off x="3280013" y="6071010"/>
          <a:ext cx="1963094" cy="1755053"/>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Input the</a:t>
          </a:r>
          <a:r>
            <a:rPr lang="en-NZ" sz="1100" baseline="0">
              <a:solidFill>
                <a:schemeClr val="bg1"/>
              </a:solidFill>
            </a:rPr>
            <a:t> amount of fuel used to heat the house. Only fill in the column relevant to the heating source and leave the rest blank.</a:t>
          </a:r>
        </a:p>
      </xdr:txBody>
    </xdr:sp>
    <xdr:clientData/>
  </xdr:twoCellAnchor>
  <xdr:twoCellAnchor>
    <xdr:from>
      <xdr:col>8</xdr:col>
      <xdr:colOff>437940</xdr:colOff>
      <xdr:row>33</xdr:row>
      <xdr:rowOff>117475</xdr:rowOff>
    </xdr:from>
    <xdr:to>
      <xdr:col>11</xdr:col>
      <xdr:colOff>474135</xdr:colOff>
      <xdr:row>43</xdr:row>
      <xdr:rowOff>102658</xdr:rowOff>
    </xdr:to>
    <xdr:sp macro="" textlink="">
      <xdr:nvSpPr>
        <xdr:cNvPr id="12" name="Callout: Up Arrow 11">
          <a:extLst>
            <a:ext uri="{FF2B5EF4-FFF2-40B4-BE49-F238E27FC236}">
              <a16:creationId xmlns:a16="http://schemas.microsoft.com/office/drawing/2014/main" id="{00043544-D0D9-42D1-9176-7212D38AA12A}"/>
            </a:ext>
          </a:extLst>
        </xdr:cNvPr>
        <xdr:cNvSpPr/>
      </xdr:nvSpPr>
      <xdr:spPr>
        <a:xfrm>
          <a:off x="5278881" y="6034181"/>
          <a:ext cx="1851548" cy="1778124"/>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kWh of the inputs. Each input is converted to kWh using the units in the parameters tab.</a:t>
          </a:r>
        </a:p>
      </xdr:txBody>
    </xdr:sp>
    <xdr:clientData/>
  </xdr:twoCellAnchor>
  <xdr:twoCellAnchor>
    <xdr:from>
      <xdr:col>24</xdr:col>
      <xdr:colOff>305860</xdr:colOff>
      <xdr:row>34</xdr:row>
      <xdr:rowOff>177968</xdr:rowOff>
    </xdr:from>
    <xdr:to>
      <xdr:col>28</xdr:col>
      <xdr:colOff>168699</xdr:colOff>
      <xdr:row>44</xdr:row>
      <xdr:rowOff>167596</xdr:rowOff>
    </xdr:to>
    <xdr:sp macro="" textlink="">
      <xdr:nvSpPr>
        <xdr:cNvPr id="13" name="Callout: Up Arrow 12">
          <a:extLst>
            <a:ext uri="{FF2B5EF4-FFF2-40B4-BE49-F238E27FC236}">
              <a16:creationId xmlns:a16="http://schemas.microsoft.com/office/drawing/2014/main" id="{D517D8C2-0E7A-4911-85FC-DABE845483D6}"/>
            </a:ext>
          </a:extLst>
        </xdr:cNvPr>
        <xdr:cNvSpPr/>
      </xdr:nvSpPr>
      <xdr:spPr>
        <a:xfrm>
          <a:off x="14828684" y="6273968"/>
          <a:ext cx="2283309" cy="1782569"/>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teal cells sum up the total</a:t>
          </a:r>
          <a:r>
            <a:rPr lang="en-NZ" sz="1100" baseline="0">
              <a:solidFill>
                <a:schemeClr val="bg1"/>
              </a:solidFill>
            </a:rPr>
            <a:t> in CO2-e of the inputs. Each input is converted to CO2-e using the units in the parameters tab. Note any onsite electricity generation in calculated as zero emissions.</a:t>
          </a:r>
        </a:p>
      </xdr:txBody>
    </xdr:sp>
    <xdr:clientData/>
  </xdr:twoCellAnchor>
  <xdr:twoCellAnchor>
    <xdr:from>
      <xdr:col>21</xdr:col>
      <xdr:colOff>314973</xdr:colOff>
      <xdr:row>11</xdr:row>
      <xdr:rowOff>138953</xdr:rowOff>
    </xdr:from>
    <xdr:to>
      <xdr:col>23</xdr:col>
      <xdr:colOff>449381</xdr:colOff>
      <xdr:row>21</xdr:row>
      <xdr:rowOff>61470</xdr:rowOff>
    </xdr:to>
    <xdr:sp macro="" textlink="">
      <xdr:nvSpPr>
        <xdr:cNvPr id="14" name="Callout: Down Arrow 13">
          <a:extLst>
            <a:ext uri="{FF2B5EF4-FFF2-40B4-BE49-F238E27FC236}">
              <a16:creationId xmlns:a16="http://schemas.microsoft.com/office/drawing/2014/main" id="{5099C4CB-F2A5-4780-A380-5FF3C9042F5B}"/>
            </a:ext>
          </a:extLst>
        </xdr:cNvPr>
        <xdr:cNvSpPr/>
      </xdr:nvSpPr>
      <xdr:spPr>
        <a:xfrm>
          <a:off x="13022444" y="2111188"/>
          <a:ext cx="1344643" cy="1715458"/>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Select the best production unit for the site from the dropdown selection. </a:t>
          </a:r>
        </a:p>
      </xdr:txBody>
    </xdr:sp>
    <xdr:clientData/>
  </xdr:twoCellAnchor>
  <xdr:twoCellAnchor>
    <xdr:from>
      <xdr:col>19</xdr:col>
      <xdr:colOff>505251</xdr:colOff>
      <xdr:row>34</xdr:row>
      <xdr:rowOff>170515</xdr:rowOff>
    </xdr:from>
    <xdr:to>
      <xdr:col>22</xdr:col>
      <xdr:colOff>543351</xdr:colOff>
      <xdr:row>45</xdr:row>
      <xdr:rowOff>3075</xdr:rowOff>
    </xdr:to>
    <xdr:sp macro="" textlink="">
      <xdr:nvSpPr>
        <xdr:cNvPr id="15" name="Callout: Up Arrow 14">
          <a:extLst>
            <a:ext uri="{FF2B5EF4-FFF2-40B4-BE49-F238E27FC236}">
              <a16:creationId xmlns:a16="http://schemas.microsoft.com/office/drawing/2014/main" id="{E42CC493-4C0E-4CE3-867B-F1FE2F5682CE}"/>
            </a:ext>
          </a:extLst>
        </xdr:cNvPr>
        <xdr:cNvSpPr/>
      </xdr:nvSpPr>
      <xdr:spPr>
        <a:xfrm>
          <a:off x="12002486" y="6266515"/>
          <a:ext cx="1853453" cy="1804795"/>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Enter the monthly production data for the</a:t>
          </a:r>
          <a:r>
            <a:rPr lang="en-NZ" sz="1100" baseline="0">
              <a:solidFill>
                <a:schemeClr val="bg1"/>
              </a:solidFill>
            </a:rPr>
            <a:t> site based on the selected production unit.</a:t>
          </a:r>
        </a:p>
      </xdr:txBody>
    </xdr:sp>
    <xdr:clientData/>
  </xdr:twoCellAnchor>
  <xdr:twoCellAnchor>
    <xdr:from>
      <xdr:col>30</xdr:col>
      <xdr:colOff>521971</xdr:colOff>
      <xdr:row>34</xdr:row>
      <xdr:rowOff>131789</xdr:rowOff>
    </xdr:from>
    <xdr:to>
      <xdr:col>33</xdr:col>
      <xdr:colOff>541656</xdr:colOff>
      <xdr:row>44</xdr:row>
      <xdr:rowOff>118242</xdr:rowOff>
    </xdr:to>
    <xdr:sp macro="" textlink="">
      <xdr:nvSpPr>
        <xdr:cNvPr id="16" name="Callout: Up Arrow 15">
          <a:extLst>
            <a:ext uri="{FF2B5EF4-FFF2-40B4-BE49-F238E27FC236}">
              <a16:creationId xmlns:a16="http://schemas.microsoft.com/office/drawing/2014/main" id="{9C8A4AC8-E202-4769-B9DE-BBC31D56DF65}"/>
            </a:ext>
          </a:extLst>
        </xdr:cNvPr>
        <xdr:cNvSpPr/>
      </xdr:nvSpPr>
      <xdr:spPr>
        <a:xfrm>
          <a:off x="18675500" y="6227789"/>
          <a:ext cx="1835038" cy="1779394"/>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average cell calculates the monthly average.</a:t>
          </a:r>
          <a:r>
            <a:rPr lang="en-NZ" sz="1100" baseline="0">
              <a:solidFill>
                <a:schemeClr val="bg1"/>
              </a:solidFill>
            </a:rPr>
            <a:t> This will demonstrate the months that see a higher consumption.</a:t>
          </a:r>
          <a:r>
            <a:rPr lang="en-NZ" sz="1100">
              <a:solidFill>
                <a:schemeClr val="bg1"/>
              </a:solidFill>
            </a:rPr>
            <a:t> </a:t>
          </a:r>
          <a:endParaRPr lang="en-NZ" sz="1100" baseline="0">
            <a:solidFill>
              <a:schemeClr val="bg1"/>
            </a:solidFill>
          </a:endParaRPr>
        </a:p>
      </xdr:txBody>
    </xdr:sp>
    <xdr:clientData/>
  </xdr:twoCellAnchor>
  <xdr:twoCellAnchor>
    <xdr:from>
      <xdr:col>31</xdr:col>
      <xdr:colOff>230187</xdr:colOff>
      <xdr:row>10</xdr:row>
      <xdr:rowOff>58034</xdr:rowOff>
    </xdr:from>
    <xdr:to>
      <xdr:col>34</xdr:col>
      <xdr:colOff>17885</xdr:colOff>
      <xdr:row>22</xdr:row>
      <xdr:rowOff>15910</xdr:rowOff>
    </xdr:to>
    <xdr:sp macro="" textlink="">
      <xdr:nvSpPr>
        <xdr:cNvPr id="17" name="Callout: Down Arrow 16">
          <a:extLst>
            <a:ext uri="{FF2B5EF4-FFF2-40B4-BE49-F238E27FC236}">
              <a16:creationId xmlns:a16="http://schemas.microsoft.com/office/drawing/2014/main" id="{DFC92AD3-78EF-4959-AE0B-3F7C6EB3EC0A}"/>
            </a:ext>
          </a:extLst>
        </xdr:cNvPr>
        <xdr:cNvSpPr/>
      </xdr:nvSpPr>
      <xdr:spPr>
        <a:xfrm>
          <a:off x="18988834" y="1850975"/>
          <a:ext cx="1603051" cy="2109406"/>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Energy intensity calculates the energy in kWh required to produce 1 unit</a:t>
          </a:r>
          <a:r>
            <a:rPr lang="en-NZ" sz="1100" baseline="0">
              <a:solidFill>
                <a:schemeClr val="bg1"/>
              </a:solidFill>
              <a:latin typeface="+mn-lt"/>
              <a:ea typeface="+mn-ea"/>
              <a:cs typeface="+mn-cs"/>
            </a:rPr>
            <a:t> and also per foot print of storage. This enables a benchmark</a:t>
          </a:r>
          <a:endParaRPr lang="en-NZ" sz="1100">
            <a:solidFill>
              <a:schemeClr val="bg1"/>
            </a:solidFill>
            <a:latin typeface="+mn-lt"/>
            <a:ea typeface="+mn-ea"/>
            <a:cs typeface="+mn-cs"/>
          </a:endParaRPr>
        </a:p>
      </xdr:txBody>
    </xdr:sp>
    <xdr:clientData/>
  </xdr:twoCellAnchor>
  <xdr:twoCellAnchor>
    <xdr:from>
      <xdr:col>34</xdr:col>
      <xdr:colOff>48473</xdr:colOff>
      <xdr:row>10</xdr:row>
      <xdr:rowOff>55600</xdr:rowOff>
    </xdr:from>
    <xdr:to>
      <xdr:col>36</xdr:col>
      <xdr:colOff>512128</xdr:colOff>
      <xdr:row>21</xdr:row>
      <xdr:rowOff>146509</xdr:rowOff>
    </xdr:to>
    <xdr:sp macro="" textlink="">
      <xdr:nvSpPr>
        <xdr:cNvPr id="19" name="Callout: Down Arrow 18">
          <a:extLst>
            <a:ext uri="{FF2B5EF4-FFF2-40B4-BE49-F238E27FC236}">
              <a16:creationId xmlns:a16="http://schemas.microsoft.com/office/drawing/2014/main" id="{2574AB71-5ABB-4C82-A978-102BB4C47378}"/>
            </a:ext>
          </a:extLst>
        </xdr:cNvPr>
        <xdr:cNvSpPr/>
      </xdr:nvSpPr>
      <xdr:spPr>
        <a:xfrm>
          <a:off x="20622473" y="1848541"/>
          <a:ext cx="1673890" cy="2063144"/>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Emissions intensity calculates the emissions for scope 1 and 3</a:t>
          </a:r>
          <a:r>
            <a:rPr lang="en-NZ" sz="1100" baseline="0">
              <a:solidFill>
                <a:schemeClr val="bg1"/>
              </a:solidFill>
              <a:latin typeface="+mn-lt"/>
              <a:ea typeface="+mn-ea"/>
              <a:cs typeface="+mn-cs"/>
            </a:rPr>
            <a:t> in kg CO2-e </a:t>
          </a:r>
          <a:r>
            <a:rPr lang="en-NZ" sz="1100">
              <a:solidFill>
                <a:schemeClr val="bg1"/>
              </a:solidFill>
              <a:latin typeface="+mn-lt"/>
              <a:ea typeface="+mn-ea"/>
              <a:cs typeface="+mn-cs"/>
            </a:rPr>
            <a:t>required to produce 1 unit</a:t>
          </a:r>
          <a:r>
            <a:rPr lang="en-NZ" sz="1100" baseline="0">
              <a:solidFill>
                <a:schemeClr val="bg1"/>
              </a:solidFill>
              <a:latin typeface="+mn-lt"/>
              <a:ea typeface="+mn-ea"/>
              <a:cs typeface="+mn-cs"/>
            </a:rPr>
            <a:t> and also per foot print of storage. This enables a benchmark</a:t>
          </a:r>
          <a:endParaRPr lang="en-NZ" sz="1100">
            <a:solidFill>
              <a:schemeClr val="bg1"/>
            </a:solidFill>
            <a:latin typeface="+mn-lt"/>
            <a:ea typeface="+mn-ea"/>
            <a:cs typeface="+mn-cs"/>
          </a:endParaRPr>
        </a:p>
      </xdr:txBody>
    </xdr:sp>
    <xdr:clientData/>
  </xdr:twoCellAnchor>
  <xdr:twoCellAnchor>
    <xdr:from>
      <xdr:col>12</xdr:col>
      <xdr:colOff>505461</xdr:colOff>
      <xdr:row>34</xdr:row>
      <xdr:rowOff>25399</xdr:rowOff>
    </xdr:from>
    <xdr:to>
      <xdr:col>15</xdr:col>
      <xdr:colOff>530226</xdr:colOff>
      <xdr:row>44</xdr:row>
      <xdr:rowOff>55245</xdr:rowOff>
    </xdr:to>
    <xdr:sp macro="" textlink="">
      <xdr:nvSpPr>
        <xdr:cNvPr id="21" name="Callout: Up Arrow 20">
          <a:extLst>
            <a:ext uri="{FF2B5EF4-FFF2-40B4-BE49-F238E27FC236}">
              <a16:creationId xmlns:a16="http://schemas.microsoft.com/office/drawing/2014/main" id="{0EE09722-ABFA-46E8-973A-F2C76DC596B5}"/>
            </a:ext>
          </a:extLst>
        </xdr:cNvPr>
        <xdr:cNvSpPr/>
      </xdr:nvSpPr>
      <xdr:spPr>
        <a:xfrm>
          <a:off x="7766873" y="6121399"/>
          <a:ext cx="1840118" cy="1822787"/>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Input total $ spent each month for the different fuel types</a:t>
          </a:r>
        </a:p>
      </xdr:txBody>
    </xdr:sp>
    <xdr:clientData/>
  </xdr:twoCellAnchor>
  <xdr:twoCellAnchor>
    <xdr:from>
      <xdr:col>16</xdr:col>
      <xdr:colOff>254425</xdr:colOff>
      <xdr:row>34</xdr:row>
      <xdr:rowOff>62018</xdr:rowOff>
    </xdr:from>
    <xdr:to>
      <xdr:col>19</xdr:col>
      <xdr:colOff>283000</xdr:colOff>
      <xdr:row>44</xdr:row>
      <xdr:rowOff>60537</xdr:rowOff>
    </xdr:to>
    <xdr:sp macro="" textlink="">
      <xdr:nvSpPr>
        <xdr:cNvPr id="23" name="Callout: Up Arrow 22">
          <a:extLst>
            <a:ext uri="{FF2B5EF4-FFF2-40B4-BE49-F238E27FC236}">
              <a16:creationId xmlns:a16="http://schemas.microsoft.com/office/drawing/2014/main" id="{DEA7465C-056B-4CC3-88DD-F2F81B6AF0FE}"/>
            </a:ext>
          </a:extLst>
        </xdr:cNvPr>
        <xdr:cNvSpPr/>
      </xdr:nvSpPr>
      <xdr:spPr>
        <a:xfrm>
          <a:off x="9936307" y="6158018"/>
          <a:ext cx="1843928" cy="1791460"/>
        </a:xfrm>
        <a:prstGeom prst="up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solidFill>
                <a:schemeClr val="bg1"/>
              </a:solidFill>
            </a:rPr>
            <a:t>The grey cells sum up the total</a:t>
          </a:r>
          <a:r>
            <a:rPr lang="en-NZ" sz="1100" baseline="0">
              <a:solidFill>
                <a:schemeClr val="bg1"/>
              </a:solidFill>
            </a:rPr>
            <a:t> in $ of the inputs.</a:t>
          </a:r>
        </a:p>
      </xdr:txBody>
    </xdr:sp>
    <xdr:clientData/>
  </xdr:twoCellAnchor>
  <xdr:twoCellAnchor>
    <xdr:from>
      <xdr:col>28</xdr:col>
      <xdr:colOff>493186</xdr:colOff>
      <xdr:row>10</xdr:row>
      <xdr:rowOff>93345</xdr:rowOff>
    </xdr:from>
    <xdr:to>
      <xdr:col>31</xdr:col>
      <xdr:colOff>206375</xdr:colOff>
      <xdr:row>22</xdr:row>
      <xdr:rowOff>1586</xdr:rowOff>
    </xdr:to>
    <xdr:sp macro="" textlink="">
      <xdr:nvSpPr>
        <xdr:cNvPr id="26" name="Callout: Down Arrow 25">
          <a:extLst>
            <a:ext uri="{FF2B5EF4-FFF2-40B4-BE49-F238E27FC236}">
              <a16:creationId xmlns:a16="http://schemas.microsoft.com/office/drawing/2014/main" id="{0F4B1F50-06E4-4ACB-AF53-543FE3C3F92D}"/>
            </a:ext>
          </a:extLst>
        </xdr:cNvPr>
        <xdr:cNvSpPr/>
      </xdr:nvSpPr>
      <xdr:spPr>
        <a:xfrm>
          <a:off x="17436480" y="1886286"/>
          <a:ext cx="1528542" cy="2059771"/>
        </a:xfrm>
        <a:prstGeom prst="downArrowCallout">
          <a:avLst/>
        </a:prstGeom>
        <a:solidFill>
          <a:srgbClr val="164057"/>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l"/>
          <a:r>
            <a:rPr lang="en-NZ" sz="1100">
              <a:solidFill>
                <a:schemeClr val="bg1"/>
              </a:solidFill>
              <a:latin typeface="+mn-lt"/>
              <a:ea typeface="+mn-ea"/>
              <a:cs typeface="+mn-cs"/>
            </a:rPr>
            <a:t>Cost cells calculate the cost per m2</a:t>
          </a:r>
          <a:r>
            <a:rPr lang="en-NZ" sz="1100" baseline="0">
              <a:solidFill>
                <a:schemeClr val="bg1"/>
              </a:solidFill>
              <a:latin typeface="+mn-lt"/>
              <a:ea typeface="+mn-ea"/>
              <a:cs typeface="+mn-cs"/>
            </a:rPr>
            <a:t> and per unit selected. This helps understand the exact cost per unit. </a:t>
          </a:r>
          <a:endParaRPr lang="en-NZ" sz="1100">
            <a:solidFill>
              <a:schemeClr val="bg1"/>
            </a:solidFill>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68DC1B-DE78-44AE-A83B-54597A11A102}" name="Table13" displayName="Table13" ref="C10:E12" totalsRowShown="0" headerRowDxfId="7" dataDxfId="6" headerRowBorderDxfId="4" tableBorderDxfId="5" totalsRowBorderDxfId="3">
  <tableColumns count="3">
    <tableColumn id="1" xr3:uid="{649E079E-2236-401A-AE64-CD2238F900E6}" name="Enter site details" dataDxfId="2"/>
    <tableColumn id="2" xr3:uid="{8E1548A3-11AD-407C-9F34-153636BAF9B4}" name="Column1" dataDxfId="1"/>
    <tableColumn id="3" xr3:uid="{31E5D852-59C7-4898-8C04-38BA57BE3B12}" name="Column2"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EECA Colours">
      <a:dk1>
        <a:sysClr val="windowText" lastClr="000000"/>
      </a:dk1>
      <a:lt1>
        <a:sysClr val="window" lastClr="FFFFFF"/>
      </a:lt1>
      <a:dk2>
        <a:srgbClr val="44546A"/>
      </a:dk2>
      <a:lt2>
        <a:srgbClr val="E7E6E6"/>
      </a:lt2>
      <a:accent1>
        <a:srgbClr val="317575"/>
      </a:accent1>
      <a:accent2>
        <a:srgbClr val="3A8C8A"/>
      </a:accent2>
      <a:accent3>
        <a:srgbClr val="47ABA9"/>
      </a:accent3>
      <a:accent4>
        <a:srgbClr val="6CC2C0"/>
      </a:accent4>
      <a:accent5>
        <a:srgbClr val="9ED6D5"/>
      </a:accent5>
      <a:accent6>
        <a:srgbClr val="B8E2E1"/>
      </a:accent6>
      <a:hlink>
        <a:srgbClr val="0070C0"/>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s://cliflo.niwa.co.nz/" TargetMode="External"/><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printerSettings" Target="../printerSettings/printerSettings3.bin"/><Relationship Id="rId5" Type="http://schemas.openxmlformats.org/officeDocument/2006/relationships/hyperlink" Target="https://environment.govt.nz/assets/publications/Measuring-Emissions-2024/Measuring-emissions_Detailed-guide_2024_ME1829.pdf" TargetMode="External"/><Relationship Id="rId4" Type="http://schemas.openxmlformats.org/officeDocument/2006/relationships/hyperlink" Target="https://ir.canterbury.ac.nz/handle/10092/11527"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DC54-C154-4B5D-8EE4-2879BDF46A66}">
  <sheetPr codeName="Sheet1"/>
  <dimension ref="A1:AC27"/>
  <sheetViews>
    <sheetView zoomScale="80" zoomScaleNormal="80" workbookViewId="0">
      <selection activeCell="AC11" sqref="AC11"/>
    </sheetView>
  </sheetViews>
  <sheetFormatPr defaultRowHeight="15"/>
  <cols>
    <col min="2" max="2" width="31" customWidth="1"/>
    <col min="5" max="5" width="33.5703125" customWidth="1"/>
    <col min="16" max="16" width="25.85546875" customWidth="1"/>
    <col min="17" max="17" width="54.85546875" customWidth="1"/>
  </cols>
  <sheetData>
    <row r="1" spans="1:29" ht="120.6" customHeight="1">
      <c r="A1" s="68" t="s">
        <v>0</v>
      </c>
      <c r="B1" s="145" t="s">
        <v>1</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48" customHeight="1">
      <c r="A2" s="69"/>
      <c r="B2" s="147" t="s">
        <v>2</v>
      </c>
      <c r="C2" s="147"/>
      <c r="D2" s="147"/>
      <c r="E2" s="147"/>
      <c r="F2" s="70"/>
      <c r="G2" s="70"/>
      <c r="H2" s="70"/>
      <c r="I2" s="70"/>
      <c r="J2" s="70"/>
      <c r="K2" s="70"/>
      <c r="L2" s="70"/>
      <c r="M2" s="70"/>
      <c r="N2" s="70"/>
      <c r="O2" s="70"/>
      <c r="P2" s="70"/>
      <c r="Q2" s="70"/>
      <c r="R2" s="71"/>
    </row>
    <row r="3" spans="1:29">
      <c r="A3" s="69"/>
      <c r="B3" s="148" t="s">
        <v>3</v>
      </c>
      <c r="C3" s="148"/>
      <c r="D3" s="148"/>
      <c r="E3" s="148"/>
      <c r="F3" s="148"/>
      <c r="G3" s="148"/>
      <c r="H3" s="148"/>
      <c r="I3" s="148"/>
      <c r="J3" s="148"/>
      <c r="K3" s="148"/>
      <c r="L3" s="148"/>
      <c r="M3" s="148"/>
      <c r="N3" s="148"/>
      <c r="O3" s="148"/>
      <c r="P3" s="148"/>
      <c r="Q3" s="148"/>
      <c r="R3" s="72"/>
    </row>
    <row r="4" spans="1:29" ht="71.45" customHeight="1">
      <c r="A4" s="69"/>
      <c r="B4" s="148"/>
      <c r="C4" s="148"/>
      <c r="D4" s="148"/>
      <c r="E4" s="148"/>
      <c r="F4" s="148"/>
      <c r="G4" s="148"/>
      <c r="H4" s="148"/>
      <c r="I4" s="148"/>
      <c r="J4" s="148"/>
      <c r="K4" s="148"/>
      <c r="L4" s="148"/>
      <c r="M4" s="148"/>
      <c r="N4" s="148"/>
      <c r="O4" s="148"/>
      <c r="P4" s="148"/>
      <c r="Q4" s="148"/>
      <c r="R4" s="72"/>
    </row>
    <row r="5" spans="1:29">
      <c r="A5" s="69"/>
      <c r="B5" s="148"/>
      <c r="C5" s="148"/>
      <c r="D5" s="148"/>
      <c r="E5" s="148"/>
      <c r="F5" s="148"/>
      <c r="G5" s="148"/>
      <c r="H5" s="148"/>
      <c r="I5" s="148"/>
      <c r="J5" s="148"/>
      <c r="K5" s="148"/>
      <c r="L5" s="148"/>
      <c r="M5" s="148"/>
      <c r="N5" s="148"/>
      <c r="O5" s="148"/>
      <c r="P5" s="148"/>
      <c r="Q5" s="148"/>
      <c r="R5" s="72"/>
    </row>
    <row r="6" spans="1:29">
      <c r="A6" s="69"/>
      <c r="B6" s="73"/>
      <c r="C6" s="73"/>
      <c r="D6" s="73"/>
      <c r="E6" s="73"/>
      <c r="F6" s="73"/>
      <c r="G6" s="73"/>
      <c r="H6" s="73"/>
      <c r="I6" s="73"/>
      <c r="J6" s="73"/>
      <c r="K6" s="73"/>
      <c r="L6" s="73"/>
      <c r="M6" s="73"/>
      <c r="N6" s="73"/>
      <c r="O6" s="73"/>
      <c r="P6" s="73"/>
      <c r="Q6" s="73"/>
      <c r="R6" s="72"/>
    </row>
    <row r="7" spans="1:29" ht="30">
      <c r="A7" s="69"/>
      <c r="B7" s="74" t="s">
        <v>4</v>
      </c>
      <c r="C7" s="69"/>
      <c r="D7" s="69"/>
      <c r="E7" s="69"/>
      <c r="F7" s="69"/>
      <c r="G7" s="69"/>
      <c r="H7" s="69"/>
      <c r="I7" s="69"/>
      <c r="J7" s="69"/>
      <c r="K7" s="69"/>
      <c r="L7" s="69"/>
      <c r="M7" s="69"/>
      <c r="N7" s="69"/>
      <c r="O7" s="149"/>
      <c r="P7" s="149"/>
      <c r="Q7" s="149"/>
      <c r="R7" s="72"/>
    </row>
    <row r="8" spans="1:29">
      <c r="A8" s="69"/>
      <c r="B8" s="75" t="s">
        <v>5</v>
      </c>
      <c r="C8" s="76"/>
      <c r="D8" s="77"/>
      <c r="E8" s="77"/>
      <c r="F8" s="77"/>
      <c r="G8" s="77"/>
      <c r="H8" s="77"/>
      <c r="I8" s="77"/>
      <c r="J8" s="77"/>
      <c r="K8" s="77"/>
      <c r="L8" s="77"/>
      <c r="M8" s="77"/>
      <c r="N8" s="77"/>
      <c r="O8" s="77"/>
      <c r="P8" s="77"/>
      <c r="Q8" s="77"/>
      <c r="R8" s="72"/>
    </row>
    <row r="9" spans="1:29">
      <c r="A9" s="69"/>
      <c r="B9" s="78"/>
      <c r="C9" s="79"/>
      <c r="D9" s="77"/>
      <c r="E9" s="77"/>
      <c r="F9" s="77"/>
      <c r="G9" s="77"/>
      <c r="H9" s="77"/>
      <c r="I9" s="77"/>
      <c r="J9" s="77"/>
      <c r="K9" s="77"/>
      <c r="L9" s="77"/>
      <c r="M9" s="77"/>
      <c r="N9" s="77"/>
      <c r="O9" s="77"/>
      <c r="P9" s="77"/>
      <c r="Q9" s="77"/>
      <c r="R9" s="72"/>
    </row>
    <row r="10" spans="1:29">
      <c r="A10" s="69"/>
      <c r="B10" s="75">
        <v>1</v>
      </c>
      <c r="C10" s="80" t="s">
        <v>6</v>
      </c>
      <c r="D10" s="80"/>
      <c r="E10" s="80"/>
      <c r="F10" s="81"/>
      <c r="G10" s="81"/>
      <c r="H10" s="81"/>
      <c r="I10" s="81"/>
      <c r="J10" s="81"/>
      <c r="K10" s="81"/>
      <c r="L10" s="81"/>
      <c r="M10" s="81"/>
      <c r="N10" s="81"/>
      <c r="O10" s="81"/>
      <c r="P10" s="81"/>
      <c r="Q10" s="81"/>
      <c r="R10" s="82"/>
    </row>
    <row r="11" spans="1:29">
      <c r="A11" s="69"/>
      <c r="B11" s="75"/>
      <c r="C11" s="80"/>
      <c r="D11" s="80"/>
      <c r="E11" s="80"/>
      <c r="F11" s="81"/>
      <c r="G11" s="81"/>
      <c r="H11" s="81"/>
      <c r="I11" s="81"/>
      <c r="J11" s="81"/>
      <c r="K11" s="81"/>
      <c r="L11" s="81"/>
      <c r="M11" s="81"/>
      <c r="N11" s="81"/>
      <c r="O11" s="81"/>
      <c r="P11" s="81"/>
      <c r="Q11" s="81"/>
      <c r="R11" s="82"/>
    </row>
    <row r="12" spans="1:29">
      <c r="A12" s="69"/>
      <c r="B12" s="75">
        <v>2</v>
      </c>
      <c r="C12" s="80" t="s">
        <v>7</v>
      </c>
      <c r="D12" s="80"/>
      <c r="E12" s="80"/>
      <c r="F12" s="81"/>
      <c r="G12" s="81"/>
      <c r="H12" s="81"/>
      <c r="I12" s="81"/>
      <c r="J12" s="81"/>
      <c r="K12" s="81"/>
      <c r="L12" s="81"/>
      <c r="M12" s="81"/>
      <c r="N12" s="81"/>
      <c r="O12" s="81"/>
      <c r="P12" s="81"/>
      <c r="Q12" s="81"/>
      <c r="R12" s="82"/>
    </row>
    <row r="13" spans="1:29">
      <c r="A13" s="69"/>
      <c r="B13" s="75"/>
      <c r="C13" s="80"/>
      <c r="D13" s="80"/>
      <c r="E13" s="80"/>
      <c r="F13" s="81"/>
      <c r="G13" s="81"/>
      <c r="H13" s="81"/>
      <c r="I13" s="81"/>
      <c r="J13" s="81"/>
      <c r="K13" s="81"/>
      <c r="L13" s="81"/>
      <c r="M13" s="81"/>
      <c r="N13" s="81"/>
      <c r="O13" s="81"/>
      <c r="P13" s="81"/>
      <c r="Q13" s="81"/>
      <c r="R13" s="82"/>
    </row>
    <row r="14" spans="1:29">
      <c r="A14" s="69"/>
      <c r="B14" s="75">
        <v>3</v>
      </c>
      <c r="C14" s="80" t="s">
        <v>8</v>
      </c>
      <c r="D14" s="80"/>
      <c r="E14" s="80"/>
      <c r="F14" s="81"/>
      <c r="G14" s="81"/>
      <c r="H14" s="81"/>
      <c r="I14" s="81"/>
      <c r="J14" s="81"/>
      <c r="K14" s="81"/>
      <c r="L14" s="81"/>
      <c r="M14" s="81"/>
      <c r="N14" s="81"/>
      <c r="O14" s="81"/>
      <c r="P14" s="81"/>
      <c r="Q14" s="81"/>
      <c r="R14" s="82"/>
    </row>
    <row r="15" spans="1:29">
      <c r="A15" s="69"/>
      <c r="B15" s="75"/>
      <c r="C15" s="80" t="s">
        <v>9</v>
      </c>
      <c r="D15" s="80"/>
      <c r="E15" s="80"/>
      <c r="F15" s="81"/>
      <c r="G15" s="81"/>
      <c r="H15" s="81"/>
      <c r="I15" s="81"/>
      <c r="J15" s="81"/>
      <c r="K15" s="81"/>
      <c r="L15" s="81"/>
      <c r="M15" s="81"/>
      <c r="N15" s="81"/>
      <c r="O15" s="81"/>
      <c r="P15" s="81"/>
      <c r="Q15" s="81"/>
      <c r="R15" s="82"/>
    </row>
    <row r="16" spans="1:29">
      <c r="A16" s="69"/>
      <c r="B16" s="75"/>
      <c r="C16" s="80"/>
      <c r="D16" s="80"/>
      <c r="E16" s="80"/>
      <c r="F16" s="81"/>
      <c r="G16" s="81"/>
      <c r="H16" s="81"/>
      <c r="I16" s="81"/>
      <c r="J16" s="81"/>
      <c r="K16" s="81"/>
      <c r="L16" s="81"/>
      <c r="M16" s="81"/>
      <c r="N16" s="81"/>
      <c r="O16" s="81"/>
      <c r="P16" s="81"/>
      <c r="Q16" s="81"/>
      <c r="R16" s="82"/>
    </row>
    <row r="17" spans="1:18">
      <c r="A17" s="69"/>
      <c r="B17" s="75">
        <v>4</v>
      </c>
      <c r="C17" s="80" t="s">
        <v>10</v>
      </c>
      <c r="D17" s="80"/>
      <c r="E17" s="80"/>
      <c r="F17" s="81"/>
      <c r="G17" s="81"/>
      <c r="H17" s="81"/>
      <c r="I17" s="81"/>
      <c r="J17" s="81"/>
      <c r="K17" s="81"/>
      <c r="L17" s="81"/>
      <c r="M17" s="81"/>
      <c r="N17" s="81"/>
      <c r="O17" s="81"/>
      <c r="P17" s="81"/>
      <c r="Q17" s="81"/>
      <c r="R17" s="82"/>
    </row>
    <row r="18" spans="1:18">
      <c r="A18" s="69"/>
      <c r="B18" s="75"/>
      <c r="C18" s="80"/>
      <c r="D18" s="80"/>
      <c r="E18" s="80"/>
      <c r="F18" s="81"/>
      <c r="G18" s="81"/>
      <c r="H18" s="81"/>
      <c r="I18" s="81"/>
      <c r="J18" s="81"/>
      <c r="K18" s="81"/>
      <c r="L18" s="81"/>
      <c r="M18" s="81"/>
      <c r="N18" s="81"/>
      <c r="O18" s="81"/>
      <c r="P18" s="81"/>
      <c r="Q18" s="81"/>
      <c r="R18" s="82"/>
    </row>
    <row r="19" spans="1:18">
      <c r="A19" s="69"/>
      <c r="B19" s="75">
        <v>5</v>
      </c>
      <c r="C19" s="80" t="s">
        <v>11</v>
      </c>
      <c r="D19" s="80"/>
      <c r="E19" s="80"/>
      <c r="F19" s="81"/>
      <c r="G19" s="81"/>
      <c r="H19" s="81"/>
      <c r="I19" s="81"/>
      <c r="J19" s="81"/>
      <c r="K19" s="81"/>
      <c r="L19" s="81"/>
      <c r="M19" s="81"/>
      <c r="N19" s="81"/>
      <c r="O19" s="81"/>
      <c r="P19" s="81"/>
      <c r="Q19" s="77"/>
      <c r="R19" s="82"/>
    </row>
    <row r="20" spans="1:18">
      <c r="A20" s="69"/>
      <c r="B20" s="75"/>
      <c r="C20" s="80" t="s">
        <v>12</v>
      </c>
      <c r="D20" s="80"/>
      <c r="E20" s="80"/>
      <c r="F20" s="81"/>
      <c r="G20" s="81"/>
      <c r="H20" s="81"/>
      <c r="I20" s="81"/>
      <c r="J20" s="81"/>
      <c r="K20" s="81"/>
      <c r="L20" s="81"/>
      <c r="M20" s="81"/>
      <c r="N20" s="81"/>
      <c r="O20" s="81"/>
      <c r="P20" s="76" t="s">
        <v>13</v>
      </c>
      <c r="Q20" s="76"/>
      <c r="R20" s="82"/>
    </row>
    <row r="21" spans="1:18" ht="15.75">
      <c r="A21" s="69"/>
      <c r="B21" s="78"/>
      <c r="C21" s="80" t="s">
        <v>14</v>
      </c>
      <c r="D21" s="80"/>
      <c r="E21" s="80"/>
      <c r="F21" s="81"/>
      <c r="G21" s="81"/>
      <c r="H21" s="81"/>
      <c r="I21" s="81"/>
      <c r="J21" s="81"/>
      <c r="K21" s="81"/>
      <c r="L21" s="81"/>
      <c r="M21" s="81"/>
      <c r="N21" s="81"/>
      <c r="O21" s="81"/>
      <c r="P21" s="92" t="s">
        <v>15</v>
      </c>
      <c r="Q21" s="83"/>
      <c r="R21" s="82"/>
    </row>
    <row r="22" spans="1:18" ht="15.75">
      <c r="A22" s="69"/>
      <c r="B22" s="144"/>
      <c r="C22" s="80"/>
      <c r="D22" s="80"/>
      <c r="E22" s="80"/>
      <c r="F22" s="81"/>
      <c r="G22" s="81"/>
      <c r="H22" s="81"/>
      <c r="I22" s="81"/>
      <c r="J22" s="81"/>
      <c r="K22" s="81"/>
      <c r="L22" s="81"/>
      <c r="M22" s="81"/>
      <c r="N22" s="81"/>
      <c r="O22" s="81"/>
      <c r="P22" s="95" t="s">
        <v>16</v>
      </c>
      <c r="Q22" s="83"/>
      <c r="R22" s="82"/>
    </row>
    <row r="23" spans="1:18" ht="15.75">
      <c r="A23" s="69"/>
      <c r="B23" s="78"/>
      <c r="C23" s="80" t="s">
        <v>17</v>
      </c>
      <c r="D23" s="80"/>
      <c r="E23" s="80"/>
      <c r="F23" s="81"/>
      <c r="G23" s="81"/>
      <c r="H23" s="81"/>
      <c r="I23" s="81"/>
      <c r="J23" s="81"/>
      <c r="K23" s="81"/>
      <c r="L23" s="81"/>
      <c r="M23" s="81"/>
      <c r="N23" s="81"/>
      <c r="O23" s="81"/>
      <c r="P23" s="96" t="s">
        <v>18</v>
      </c>
      <c r="Q23" s="83"/>
      <c r="R23" s="82"/>
    </row>
    <row r="24" spans="1:18" ht="15.75">
      <c r="A24" s="69"/>
      <c r="B24" s="78"/>
      <c r="C24" s="84"/>
      <c r="D24" s="80"/>
      <c r="E24" s="80"/>
      <c r="F24" s="81"/>
      <c r="G24" s="81"/>
      <c r="H24" s="81"/>
      <c r="I24" s="81"/>
      <c r="J24" s="81"/>
      <c r="K24" s="81"/>
      <c r="L24" s="81"/>
      <c r="M24" s="81"/>
      <c r="N24" s="81"/>
      <c r="O24" s="81"/>
      <c r="P24" s="98" t="s">
        <v>19</v>
      </c>
      <c r="Q24" s="83"/>
      <c r="R24" s="82"/>
    </row>
    <row r="25" spans="1:18">
      <c r="A25" s="69"/>
      <c r="B25" s="78"/>
      <c r="C25" s="84"/>
      <c r="D25" s="80"/>
      <c r="E25" s="80"/>
      <c r="F25" s="81"/>
      <c r="G25" s="81"/>
      <c r="H25" s="81"/>
      <c r="I25" s="81"/>
      <c r="J25" s="81"/>
      <c r="K25" s="81"/>
      <c r="L25" s="81"/>
      <c r="M25" s="81"/>
      <c r="N25" s="81"/>
      <c r="O25" s="81"/>
      <c r="P25" s="83"/>
      <c r="Q25" s="83"/>
      <c r="R25" s="82"/>
    </row>
    <row r="26" spans="1:18">
      <c r="A26" s="69"/>
      <c r="B26" s="85"/>
      <c r="C26" s="85"/>
      <c r="D26" s="85"/>
      <c r="E26" s="85"/>
      <c r="F26" s="85"/>
      <c r="G26" s="85"/>
      <c r="H26" s="85"/>
      <c r="I26" s="85"/>
      <c r="J26" s="85"/>
      <c r="K26" s="85"/>
      <c r="L26" s="85"/>
      <c r="M26" s="85"/>
      <c r="N26" s="85"/>
      <c r="O26" s="85"/>
      <c r="P26" s="85"/>
      <c r="Q26" s="85"/>
      <c r="R26" s="86"/>
    </row>
    <row r="27" spans="1:18">
      <c r="A27" s="87"/>
      <c r="B27" s="87"/>
      <c r="C27" s="87"/>
      <c r="D27" s="87"/>
      <c r="E27" s="87"/>
      <c r="F27" s="87"/>
      <c r="G27" s="87"/>
      <c r="H27" s="87"/>
      <c r="I27" s="87"/>
      <c r="J27" s="87"/>
      <c r="K27" s="87"/>
      <c r="L27" s="87"/>
      <c r="M27" s="87"/>
      <c r="N27" s="87"/>
      <c r="O27" s="87"/>
      <c r="P27" s="87"/>
      <c r="Q27" s="87"/>
      <c r="R27" s="88"/>
    </row>
  </sheetData>
  <sheetProtection algorithmName="SHA-512" hashValue="gy4X0jR6poc6JdXFd6stGvT3+/ZWpxexklxLy2ubSJQDAied+0Cbvhbm5n6/2FWGVzagEYXCgyeVv2FSMBP0zA==" saltValue="W9OFyr18GN4dFSfT2rx8qg==" spinCount="100000" sheet="1" objects="1" scenarios="1"/>
  <mergeCells count="4">
    <mergeCell ref="B1:AC1"/>
    <mergeCell ref="B2:E2"/>
    <mergeCell ref="B3:Q5"/>
    <mergeCell ref="O7:Q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E79"/>
  <sheetViews>
    <sheetView showGridLines="0" tabSelected="1" topLeftCell="C1" zoomScale="80" zoomScaleNormal="80" workbookViewId="0">
      <selection activeCell="N10" sqref="N10"/>
    </sheetView>
  </sheetViews>
  <sheetFormatPr defaultColWidth="9.28515625" defaultRowHeight="15.75" zeroHeight="1"/>
  <cols>
    <col min="1" max="1" width="9.28515625" style="1" customWidth="1"/>
    <col min="2" max="2" width="11.42578125" style="1" bestFit="1" customWidth="1"/>
    <col min="3" max="5" width="21.42578125" style="1" customWidth="1"/>
    <col min="6" max="6" width="18.7109375" style="1" customWidth="1"/>
    <col min="7" max="7" width="20" style="1" customWidth="1"/>
    <col min="8" max="8" width="18.7109375" style="1" customWidth="1"/>
    <col min="9" max="14" width="17.28515625" style="1" customWidth="1"/>
    <col min="15" max="15" width="17.7109375" style="1" customWidth="1"/>
    <col min="16" max="16" width="12.140625" style="1" customWidth="1"/>
    <col min="17" max="17" width="12" style="1" customWidth="1"/>
    <col min="18" max="18" width="11.5703125" style="91" customWidth="1"/>
    <col min="19" max="20" width="7.28515625" style="1" customWidth="1"/>
    <col min="21" max="23" width="11.42578125" style="1" customWidth="1"/>
    <col min="24" max="24" width="7.28515625" style="1" customWidth="1"/>
    <col min="25" max="25" width="11.5703125" style="1" customWidth="1"/>
    <col min="26" max="26" width="9.28515625" customWidth="1"/>
    <col min="27" max="27" width="9.28515625" style="1" customWidth="1"/>
    <col min="28" max="28" width="11.42578125" style="1" customWidth="1"/>
    <col min="29" max="29" width="10.7109375" style="1" customWidth="1"/>
    <col min="30" max="32" width="9.28515625" style="1" customWidth="1"/>
    <col min="33" max="33" width="9.5703125" style="1" customWidth="1"/>
    <col min="34" max="39" width="9.28515625" style="1" customWidth="1"/>
    <col min="40" max="40" width="10" style="1" customWidth="1"/>
    <col min="41" max="41" width="9.28515625" style="1" customWidth="1"/>
    <col min="42" max="42" width="8.28515625" style="1" customWidth="1"/>
    <col min="43" max="43" width="6.7109375" style="1" customWidth="1"/>
    <col min="44" max="44" width="7.7109375" style="1" customWidth="1"/>
    <col min="45" max="45" width="8.42578125" style="1" customWidth="1"/>
    <col min="46" max="46" width="10.28515625" style="1" customWidth="1"/>
    <col min="47" max="47" width="10.7109375" style="1" customWidth="1"/>
    <col min="48" max="48" width="12.42578125" style="1" customWidth="1"/>
    <col min="49" max="50" width="10.7109375" style="1" customWidth="1"/>
    <col min="51" max="51" width="8.5703125" style="1" customWidth="1"/>
    <col min="52" max="52" width="12.28515625" style="1" customWidth="1"/>
    <col min="53" max="53" width="10.42578125" style="1" customWidth="1"/>
    <col min="54" max="16383" width="9.28515625" style="1"/>
    <col min="16384" max="16384" width="18.28515625" style="1" customWidth="1"/>
  </cols>
  <sheetData>
    <row r="1" spans="1:31" customFormat="1" ht="122.1" customHeight="1">
      <c r="A1" s="68" t="s">
        <v>0</v>
      </c>
      <c r="B1" s="145" t="str">
        <f>"Energy Calculations for: "&amp;'Energy Calculator'!$C$12</f>
        <v xml:space="preserve">Energy Calculations for: </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89"/>
      <c r="AE1" s="89"/>
    </row>
    <row r="2" spans="1:31">
      <c r="Z2" s="1"/>
    </row>
    <row r="3" spans="1:31">
      <c r="Z3" s="1"/>
    </row>
    <row r="4" spans="1:31" ht="18.75" customHeight="1">
      <c r="C4" s="92" t="s">
        <v>15</v>
      </c>
      <c r="D4" s="93"/>
      <c r="G4" s="158" t="s">
        <v>20</v>
      </c>
      <c r="H4" s="159"/>
      <c r="I4" s="159"/>
      <c r="J4" s="159"/>
      <c r="K4" s="159"/>
      <c r="L4" s="159"/>
      <c r="M4" s="159"/>
      <c r="N4" s="159"/>
      <c r="O4" s="94"/>
      <c r="P4" s="94"/>
      <c r="Z4" s="1"/>
    </row>
    <row r="5" spans="1:31" ht="18.75" customHeight="1">
      <c r="C5" s="95" t="s">
        <v>16</v>
      </c>
      <c r="D5" s="93"/>
      <c r="G5" s="160"/>
      <c r="H5" s="159"/>
      <c r="I5" s="159"/>
      <c r="J5" s="159"/>
      <c r="K5" s="159"/>
      <c r="L5" s="159"/>
      <c r="M5" s="159"/>
      <c r="N5" s="159"/>
      <c r="O5" s="94"/>
      <c r="P5" s="94"/>
      <c r="Z5" s="1"/>
    </row>
    <row r="6" spans="1:31" ht="18.75" customHeight="1">
      <c r="C6" s="96" t="s">
        <v>18</v>
      </c>
      <c r="D6" s="97"/>
      <c r="G6" s="159"/>
      <c r="H6" s="159"/>
      <c r="I6" s="159"/>
      <c r="J6" s="159"/>
      <c r="K6" s="159"/>
      <c r="L6" s="159"/>
      <c r="M6" s="159"/>
      <c r="N6" s="159"/>
      <c r="O6" s="94"/>
      <c r="P6" s="94"/>
      <c r="Z6" s="1"/>
    </row>
    <row r="7" spans="1:31" ht="18.75" customHeight="1">
      <c r="C7" s="98" t="s">
        <v>19</v>
      </c>
      <c r="D7" s="97"/>
      <c r="G7" s="159"/>
      <c r="H7" s="159"/>
      <c r="I7" s="159"/>
      <c r="J7" s="159"/>
      <c r="K7" s="159"/>
      <c r="L7" s="159"/>
      <c r="M7" s="159"/>
      <c r="N7" s="159"/>
      <c r="O7" s="94"/>
      <c r="P7" s="94"/>
      <c r="Z7" s="1"/>
    </row>
    <row r="8" spans="1:31">
      <c r="G8" s="94"/>
      <c r="H8" s="94"/>
      <c r="I8" s="94"/>
      <c r="J8" s="94"/>
      <c r="K8" s="94"/>
      <c r="L8" s="94"/>
      <c r="M8" s="94"/>
      <c r="N8" s="94"/>
      <c r="Z8" s="1"/>
    </row>
    <row r="9" spans="1:31">
      <c r="C9"/>
      <c r="D9"/>
      <c r="E9"/>
      <c r="G9" s="94"/>
      <c r="H9" s="94"/>
      <c r="I9" s="94"/>
      <c r="J9" s="94"/>
      <c r="K9" s="94"/>
      <c r="L9" s="94"/>
      <c r="Z9" s="1"/>
    </row>
    <row r="10" spans="1:31" ht="22.5" customHeight="1">
      <c r="C10" s="99" t="s">
        <v>21</v>
      </c>
      <c r="D10" s="100" t="s">
        <v>22</v>
      </c>
      <c r="E10" s="101" t="s">
        <v>23</v>
      </c>
      <c r="F10" s="102"/>
      <c r="G10" s="154" t="s">
        <v>24</v>
      </c>
      <c r="H10" s="155"/>
      <c r="I10" s="155"/>
      <c r="J10" s="155"/>
      <c r="K10" s="156"/>
    </row>
    <row r="11" spans="1:31" ht="18.75" customHeight="1">
      <c r="C11" s="103" t="s">
        <v>25</v>
      </c>
      <c r="D11" s="104" t="s">
        <v>26</v>
      </c>
      <c r="E11" s="105" t="s">
        <v>27</v>
      </c>
      <c r="G11" s="106" t="s">
        <v>28</v>
      </c>
      <c r="H11" s="107" t="s">
        <v>29</v>
      </c>
      <c r="I11" s="106" t="s">
        <v>30</v>
      </c>
      <c r="J11" s="106" t="s">
        <v>31</v>
      </c>
      <c r="K11" s="108" t="s">
        <v>32</v>
      </c>
    </row>
    <row r="12" spans="1:31" ht="33.75" customHeight="1">
      <c r="B12" s="109"/>
      <c r="C12" s="139"/>
      <c r="D12" s="140"/>
      <c r="E12" s="141"/>
      <c r="G12" s="142"/>
      <c r="H12" s="142"/>
      <c r="I12" s="142"/>
      <c r="J12" s="142"/>
      <c r="K12" s="110">
        <f>SUM(G12:J12)</f>
        <v>0</v>
      </c>
    </row>
    <row r="13" spans="1:31">
      <c r="B13" s="111"/>
    </row>
    <row r="14" spans="1:31">
      <c r="B14" s="111"/>
    </row>
    <row r="15" spans="1:31" ht="22.5" customHeight="1">
      <c r="B15" s="111"/>
      <c r="C15" s="157" t="s">
        <v>33</v>
      </c>
      <c r="D15" s="157"/>
      <c r="E15" s="157"/>
      <c r="J15" s="157" t="s">
        <v>34</v>
      </c>
      <c r="K15" s="157"/>
      <c r="L15" s="157"/>
    </row>
    <row r="16" spans="1:31" ht="15.75" customHeight="1">
      <c r="B16" s="111"/>
      <c r="C16" s="1" t="s">
        <v>35</v>
      </c>
      <c r="D16" s="112"/>
      <c r="E16" s="113"/>
      <c r="J16" s="1" t="s">
        <v>35</v>
      </c>
      <c r="K16" s="112"/>
      <c r="L16" s="113"/>
    </row>
    <row r="17" spans="2:26"/>
    <row r="18" spans="2:26" ht="24">
      <c r="C18" s="154" t="s">
        <v>36</v>
      </c>
      <c r="D18" s="155"/>
      <c r="E18" s="155"/>
      <c r="F18" s="155"/>
      <c r="G18" s="155"/>
      <c r="H18" s="156"/>
      <c r="I18" s="114"/>
      <c r="J18" s="154" t="s">
        <v>37</v>
      </c>
      <c r="K18" s="155"/>
      <c r="L18" s="155"/>
      <c r="M18" s="155"/>
      <c r="N18" s="156"/>
    </row>
    <row r="19" spans="2:26" ht="18.75" customHeight="1">
      <c r="C19" s="151" t="s">
        <v>38</v>
      </c>
      <c r="D19" s="151" t="s">
        <v>39</v>
      </c>
      <c r="E19" s="115" t="s">
        <v>40</v>
      </c>
      <c r="F19" s="115" t="s">
        <v>41</v>
      </c>
      <c r="G19" s="1" t="s">
        <v>42</v>
      </c>
      <c r="H19" s="116" t="s">
        <v>43</v>
      </c>
      <c r="J19" s="150" t="s">
        <v>44</v>
      </c>
      <c r="K19" s="115" t="s">
        <v>45</v>
      </c>
      <c r="L19" s="115" t="s">
        <v>46</v>
      </c>
      <c r="M19" s="1" t="s">
        <v>47</v>
      </c>
      <c r="N19" s="116" t="s">
        <v>48</v>
      </c>
      <c r="P19" s="91"/>
      <c r="R19" s="1"/>
      <c r="X19"/>
      <c r="Z19" s="1"/>
    </row>
    <row r="20" spans="2:26" ht="18.75" customHeight="1">
      <c r="C20" s="151"/>
      <c r="D20" s="151"/>
      <c r="E20" s="115"/>
      <c r="F20" s="115"/>
      <c r="G20" s="116"/>
      <c r="H20" s="116"/>
      <c r="J20" s="151"/>
      <c r="K20" s="115"/>
      <c r="L20" s="115"/>
      <c r="M20" s="116"/>
      <c r="N20" s="116"/>
      <c r="P20" s="91"/>
      <c r="R20" s="1"/>
      <c r="X20"/>
      <c r="Z20" s="1"/>
    </row>
    <row r="21" spans="2:26" ht="18.75" customHeight="1">
      <c r="C21" s="117"/>
      <c r="D21" s="117"/>
      <c r="E21" s="117"/>
      <c r="F21" s="117"/>
      <c r="G21" s="118"/>
      <c r="H21" s="118"/>
      <c r="J21" s="117"/>
      <c r="K21" s="117"/>
      <c r="L21" s="117"/>
      <c r="M21" s="118"/>
      <c r="N21" s="118"/>
      <c r="P21" s="91"/>
      <c r="R21" s="1"/>
      <c r="X21"/>
      <c r="Z21" s="1"/>
    </row>
    <row r="22" spans="2:26" ht="18.75" customHeight="1">
      <c r="B22" s="119">
        <f t="shared" ref="B22:B33" si="0">B41</f>
        <v>0</v>
      </c>
      <c r="C22" s="142"/>
      <c r="D22" s="142"/>
      <c r="E22" s="142"/>
      <c r="F22" s="142"/>
      <c r="G22" s="142"/>
      <c r="H22" s="120">
        <f>C22 +D22+E22*Parameters!$C$7 +F22*Parameters!$C$6+G22*Parameters!$C$4</f>
        <v>0</v>
      </c>
      <c r="J22" s="142"/>
      <c r="K22" s="142"/>
      <c r="L22" s="142"/>
      <c r="M22" s="142"/>
      <c r="N22" s="120">
        <f t="shared" ref="N22:N34" si="1">SUM(J22:M22)</f>
        <v>0</v>
      </c>
      <c r="O22" s="91"/>
      <c r="R22" s="1"/>
      <c r="X22"/>
      <c r="Z22" s="1"/>
    </row>
    <row r="23" spans="2:26" ht="18.75" customHeight="1">
      <c r="B23" s="119">
        <f t="shared" si="0"/>
        <v>32</v>
      </c>
      <c r="C23" s="142"/>
      <c r="D23" s="142"/>
      <c r="E23" s="142"/>
      <c r="F23" s="142"/>
      <c r="G23" s="142"/>
      <c r="H23" s="120">
        <f>C23 +D23+E23*Parameters!$C$7 +F23*Parameters!$C$6+G23*Parameters!$C$4</f>
        <v>0</v>
      </c>
      <c r="J23" s="142"/>
      <c r="K23" s="142"/>
      <c r="L23" s="142"/>
      <c r="M23" s="142"/>
      <c r="N23" s="120">
        <f t="shared" si="1"/>
        <v>0</v>
      </c>
      <c r="O23" s="91"/>
      <c r="R23" s="1"/>
      <c r="X23"/>
      <c r="Z23" s="1"/>
    </row>
    <row r="24" spans="2:26" ht="18.75" customHeight="1">
      <c r="B24" s="119">
        <f t="shared" si="0"/>
        <v>61</v>
      </c>
      <c r="C24" s="142"/>
      <c r="D24" s="142"/>
      <c r="E24" s="142"/>
      <c r="F24" s="142"/>
      <c r="G24" s="142"/>
      <c r="H24" s="120">
        <f>C24 +D24+E24*Parameters!$C$7 +F24*Parameters!$C$6+G24*Parameters!$C$4</f>
        <v>0</v>
      </c>
      <c r="J24" s="142"/>
      <c r="K24" s="142"/>
      <c r="L24" s="142"/>
      <c r="M24" s="142"/>
      <c r="N24" s="120">
        <f t="shared" si="1"/>
        <v>0</v>
      </c>
      <c r="O24" s="91"/>
      <c r="R24" s="1"/>
      <c r="X24"/>
      <c r="Z24" s="1"/>
    </row>
    <row r="25" spans="2:26" ht="18.75" customHeight="1">
      <c r="B25" s="119">
        <f t="shared" si="0"/>
        <v>92</v>
      </c>
      <c r="C25" s="142"/>
      <c r="D25" s="142"/>
      <c r="E25" s="142"/>
      <c r="F25" s="142"/>
      <c r="G25" s="142"/>
      <c r="H25" s="120">
        <f>C25 +D25+E25*Parameters!$C$7 +F25*Parameters!$C$6+G25*Parameters!$C$4</f>
        <v>0</v>
      </c>
      <c r="J25" s="142"/>
      <c r="K25" s="142"/>
      <c r="L25" s="142"/>
      <c r="M25" s="142"/>
      <c r="N25" s="120">
        <f t="shared" si="1"/>
        <v>0</v>
      </c>
      <c r="O25" s="91"/>
      <c r="R25" s="1"/>
      <c r="X25"/>
      <c r="Z25" s="1"/>
    </row>
    <row r="26" spans="2:26" ht="18.75" customHeight="1">
      <c r="B26" s="119">
        <f t="shared" si="0"/>
        <v>122</v>
      </c>
      <c r="C26" s="142"/>
      <c r="D26" s="142"/>
      <c r="E26" s="142"/>
      <c r="F26" s="142"/>
      <c r="G26" s="142"/>
      <c r="H26" s="120">
        <f>C26 +D26+E26*Parameters!$C$7 +F26*Parameters!$C$6+G26*Parameters!$C$4</f>
        <v>0</v>
      </c>
      <c r="J26" s="142"/>
      <c r="K26" s="142"/>
      <c r="L26" s="142"/>
      <c r="M26" s="142"/>
      <c r="N26" s="120">
        <f t="shared" si="1"/>
        <v>0</v>
      </c>
      <c r="O26" s="91"/>
      <c r="R26" s="1"/>
      <c r="X26"/>
      <c r="Z26" s="1"/>
    </row>
    <row r="27" spans="2:26" ht="18.75" customHeight="1">
      <c r="B27" s="119">
        <f t="shared" si="0"/>
        <v>153</v>
      </c>
      <c r="C27" s="142"/>
      <c r="D27" s="142"/>
      <c r="E27" s="142"/>
      <c r="F27" s="142"/>
      <c r="G27" s="142"/>
      <c r="H27" s="120">
        <f>C27 +D27+E27*Parameters!$C$7 +F27*Parameters!$C$6+G27*Parameters!$C$4</f>
        <v>0</v>
      </c>
      <c r="J27" s="142"/>
      <c r="K27" s="142"/>
      <c r="L27" s="142"/>
      <c r="M27" s="142"/>
      <c r="N27" s="120">
        <f t="shared" si="1"/>
        <v>0</v>
      </c>
      <c r="O27" s="91"/>
      <c r="R27" s="1"/>
      <c r="X27"/>
      <c r="Z27" s="1"/>
    </row>
    <row r="28" spans="2:26" ht="18.75" customHeight="1">
      <c r="B28" s="119">
        <f t="shared" si="0"/>
        <v>183</v>
      </c>
      <c r="C28" s="142"/>
      <c r="D28" s="142"/>
      <c r="E28" s="142"/>
      <c r="F28" s="142"/>
      <c r="G28" s="142"/>
      <c r="H28" s="120">
        <f>C28 +D28+E28*Parameters!$C$7 +F28*Parameters!$C$6+G28*Parameters!$C$4</f>
        <v>0</v>
      </c>
      <c r="J28" s="142"/>
      <c r="K28" s="142"/>
      <c r="L28" s="142"/>
      <c r="M28" s="142"/>
      <c r="N28" s="120">
        <f t="shared" si="1"/>
        <v>0</v>
      </c>
      <c r="O28" s="91"/>
      <c r="R28" s="1"/>
      <c r="X28"/>
      <c r="Z28" s="1"/>
    </row>
    <row r="29" spans="2:26" ht="18.75" customHeight="1">
      <c r="B29" s="119">
        <f t="shared" si="0"/>
        <v>214</v>
      </c>
      <c r="C29" s="142"/>
      <c r="D29" s="142"/>
      <c r="E29" s="142"/>
      <c r="F29" s="142"/>
      <c r="G29" s="142"/>
      <c r="H29" s="120">
        <f>C29 +D29+E29*Parameters!$C$7 +F29*Parameters!$C$6+G29*Parameters!$C$4</f>
        <v>0</v>
      </c>
      <c r="J29" s="142"/>
      <c r="K29" s="142"/>
      <c r="L29" s="142"/>
      <c r="M29" s="142"/>
      <c r="N29" s="120">
        <f t="shared" si="1"/>
        <v>0</v>
      </c>
      <c r="O29" s="91"/>
      <c r="R29" s="1"/>
      <c r="X29"/>
      <c r="Z29" s="1"/>
    </row>
    <row r="30" spans="2:26" ht="18.75" customHeight="1">
      <c r="B30" s="119">
        <f t="shared" si="0"/>
        <v>245</v>
      </c>
      <c r="C30" s="142"/>
      <c r="D30" s="142"/>
      <c r="E30" s="142"/>
      <c r="F30" s="142"/>
      <c r="G30" s="142"/>
      <c r="H30" s="120">
        <f>C30 +D30+E30*Parameters!$C$7 +F30*Parameters!$C$6+G30*Parameters!$C$4</f>
        <v>0</v>
      </c>
      <c r="J30" s="142"/>
      <c r="K30" s="142"/>
      <c r="L30" s="142"/>
      <c r="M30" s="142"/>
      <c r="N30" s="120">
        <f t="shared" si="1"/>
        <v>0</v>
      </c>
      <c r="O30" s="91"/>
      <c r="R30" s="1"/>
      <c r="X30"/>
      <c r="Z30" s="1"/>
    </row>
    <row r="31" spans="2:26" ht="18.75" customHeight="1">
      <c r="B31" s="119">
        <f t="shared" si="0"/>
        <v>275</v>
      </c>
      <c r="C31" s="142"/>
      <c r="D31" s="142"/>
      <c r="E31" s="142"/>
      <c r="F31" s="142"/>
      <c r="G31" s="142"/>
      <c r="H31" s="120">
        <f>C31 +D31+E31*Parameters!$C$7 +F31*Parameters!$C$6+G31*Parameters!$C$4</f>
        <v>0</v>
      </c>
      <c r="J31" s="142"/>
      <c r="K31" s="142"/>
      <c r="L31" s="142"/>
      <c r="M31" s="142"/>
      <c r="N31" s="120">
        <f t="shared" si="1"/>
        <v>0</v>
      </c>
      <c r="O31" s="91"/>
      <c r="R31" s="1"/>
      <c r="X31"/>
      <c r="Z31" s="1"/>
    </row>
    <row r="32" spans="2:26" ht="18.75" customHeight="1">
      <c r="B32" s="119">
        <f t="shared" si="0"/>
        <v>306</v>
      </c>
      <c r="C32" s="142"/>
      <c r="D32" s="142"/>
      <c r="E32" s="142"/>
      <c r="F32" s="142"/>
      <c r="G32" s="142"/>
      <c r="H32" s="120">
        <f>C32 +D32+E32*Parameters!$C$7 +F32*Parameters!$C$6+G32*Parameters!$C$4</f>
        <v>0</v>
      </c>
      <c r="J32" s="142"/>
      <c r="K32" s="142"/>
      <c r="L32" s="142"/>
      <c r="M32" s="142"/>
      <c r="N32" s="120">
        <f t="shared" si="1"/>
        <v>0</v>
      </c>
      <c r="O32" s="91"/>
      <c r="R32" s="1"/>
      <c r="X32"/>
      <c r="Z32" s="1"/>
    </row>
    <row r="33" spans="2:26" ht="18.75" customHeight="1">
      <c r="B33" s="119">
        <f t="shared" si="0"/>
        <v>336</v>
      </c>
      <c r="C33" s="142"/>
      <c r="D33" s="142"/>
      <c r="E33" s="142"/>
      <c r="F33" s="142"/>
      <c r="G33" s="142"/>
      <c r="H33" s="120">
        <f>C33 +D33+E33*Parameters!$C$7 +F33*Parameters!$C$6+G33*Parameters!$C$4</f>
        <v>0</v>
      </c>
      <c r="J33" s="142"/>
      <c r="K33" s="142"/>
      <c r="L33" s="142"/>
      <c r="M33" s="142"/>
      <c r="N33" s="120">
        <f t="shared" si="1"/>
        <v>0</v>
      </c>
      <c r="O33" s="91"/>
      <c r="R33" s="1"/>
      <c r="X33"/>
      <c r="Z33" s="1"/>
    </row>
    <row r="34" spans="2:26" ht="18.75" customHeight="1">
      <c r="B34" s="121" t="s">
        <v>32</v>
      </c>
      <c r="C34" s="120">
        <f>SUM(C22:C33)</f>
        <v>0</v>
      </c>
      <c r="D34" s="120">
        <f t="shared" ref="D34:G34" si="2">SUM(D22:D33)</f>
        <v>0</v>
      </c>
      <c r="E34" s="120">
        <f t="shared" si="2"/>
        <v>0</v>
      </c>
      <c r="F34" s="120">
        <f t="shared" si="2"/>
        <v>0</v>
      </c>
      <c r="G34" s="120">
        <f t="shared" si="2"/>
        <v>0</v>
      </c>
      <c r="H34" s="120">
        <f>SUM(H22:H33)</f>
        <v>0</v>
      </c>
      <c r="J34" s="120">
        <f>SUM(J22:J33)</f>
        <v>0</v>
      </c>
      <c r="K34" s="120">
        <f t="shared" ref="K34:M34" si="3">SUM(K22:K33)</f>
        <v>0</v>
      </c>
      <c r="L34" s="120">
        <f t="shared" si="3"/>
        <v>0</v>
      </c>
      <c r="M34" s="120">
        <f t="shared" si="3"/>
        <v>0</v>
      </c>
      <c r="N34" s="120">
        <f t="shared" si="1"/>
        <v>0</v>
      </c>
      <c r="P34" s="91"/>
      <c r="R34" s="1"/>
      <c r="Z34" s="1"/>
    </row>
    <row r="35" spans="2:26">
      <c r="H35" s="122"/>
      <c r="I35" s="123"/>
      <c r="J35" s="123"/>
      <c r="K35" s="123"/>
      <c r="L35" s="123"/>
      <c r="M35" s="123"/>
      <c r="N35" s="123"/>
      <c r="O35" s="123"/>
      <c r="R35" s="124"/>
      <c r="U35" s="122"/>
      <c r="V35" s="123"/>
      <c r="W35" s="123"/>
      <c r="Y35" s="122"/>
      <c r="Z35" s="1"/>
    </row>
    <row r="36" spans="2:26">
      <c r="H36" s="122"/>
      <c r="I36" s="123"/>
      <c r="J36" s="123"/>
      <c r="K36" s="123"/>
      <c r="L36" s="123"/>
      <c r="M36" s="123"/>
      <c r="N36" s="123"/>
      <c r="O36" s="123"/>
      <c r="R36" s="124"/>
      <c r="U36" s="122"/>
      <c r="V36" s="123"/>
      <c r="W36" s="123"/>
      <c r="Y36" s="122"/>
      <c r="Z36" s="1"/>
    </row>
    <row r="37" spans="2:26">
      <c r="I37" s="122"/>
      <c r="J37" s="123"/>
      <c r="K37" s="123"/>
      <c r="L37" s="123"/>
      <c r="M37" s="123"/>
      <c r="N37" s="123"/>
      <c r="O37" s="123"/>
      <c r="P37" s="123"/>
      <c r="R37" s="124"/>
      <c r="U37" s="122"/>
      <c r="V37" s="123"/>
      <c r="W37" s="123"/>
      <c r="Y37" s="122"/>
      <c r="Z37" s="1"/>
    </row>
    <row r="38" spans="2:26">
      <c r="Z38" s="1"/>
    </row>
    <row r="39" spans="2:26" ht="49.5" customHeight="1">
      <c r="C39" s="125" t="s">
        <v>49</v>
      </c>
      <c r="D39" s="143" t="s">
        <v>50</v>
      </c>
      <c r="E39" s="114"/>
      <c r="G39" s="126" t="s">
        <v>51</v>
      </c>
      <c r="I39" s="114"/>
      <c r="J39" s="152" t="s">
        <v>52</v>
      </c>
      <c r="K39" s="153"/>
      <c r="L39" s="152" t="s">
        <v>53</v>
      </c>
      <c r="M39" s="153"/>
      <c r="N39" s="152" t="s">
        <v>54</v>
      </c>
      <c r="O39" s="153"/>
      <c r="P39" s="91"/>
      <c r="R39" s="1"/>
      <c r="Z39" s="1"/>
    </row>
    <row r="40" spans="2:26" ht="33.75" customHeight="1">
      <c r="C40" s="107" t="str">
        <f>IF(D39="kg","Production (kg)",IF(D39="Trays","Production (Trays)",IF(D39="T","Production (T)",IF(D39="Crates","Production (Crates)",IF(D39="Boxes","Production (Box)","Production")))))</f>
        <v>Production</v>
      </c>
      <c r="D40" s="127" t="s">
        <v>32</v>
      </c>
      <c r="G40" s="128" t="s">
        <v>55</v>
      </c>
      <c r="J40" s="129" t="s">
        <v>56</v>
      </c>
      <c r="K40" s="129" t="str">
        <f>IF(D39="kg","$/kg",IF(D39="Birds","$/Bird",IF(D39="Flocks","$/Flock",IF(D39="Crates","$/Crate",IF(D39="Boxes","$/Box","$/production")))))</f>
        <v>$/Bird</v>
      </c>
      <c r="L40" s="129" t="s">
        <v>57</v>
      </c>
      <c r="M40" s="129" t="str">
        <f>IF(D39="kg","kWh/kg",IF(D39="Birds","kWh/Bird",IF(D39="Flocks","kWh/Flock",IF(D39="Crates","kWh/Crate",IF(D39="Boxes","kWh/Box","kWh/production")))))</f>
        <v>kWh/Bird</v>
      </c>
      <c r="N40" s="129" t="s">
        <v>58</v>
      </c>
      <c r="O40" s="129" t="str">
        <f>IF(D39="kg","kg CO2-e/kg",IF(D39="Birds","kg CO2-e/Bird",IF(D39="flocks","kg CO2-e/FLock",IF(D39="Crates","kg CO2-e/Crates",IF(D39="Boxes","kg CO2-e/Box","kg CO2-e/production")))))</f>
        <v>kg CO2-e/Bird</v>
      </c>
      <c r="R40" s="1"/>
      <c r="Z40" s="1"/>
    </row>
    <row r="41" spans="2:26" ht="18.75" customHeight="1">
      <c r="B41" s="119">
        <f>$D$12</f>
        <v>0</v>
      </c>
      <c r="C41" s="142"/>
      <c r="D41" s="130">
        <f t="shared" ref="D41:D52" si="4">SUM(C41:C41)</f>
        <v>0</v>
      </c>
      <c r="F41" s="131">
        <f t="shared" ref="F41:F52" si="5">B41</f>
        <v>0</v>
      </c>
      <c r="G41" s="132">
        <f>'Background Calcs'!G5</f>
        <v>0</v>
      </c>
      <c r="I41" s="119">
        <f t="shared" ref="I41:I52" si="6">B41</f>
        <v>0</v>
      </c>
      <c r="J41" s="133" t="str">
        <f t="shared" ref="J41:J52" si="7">IF($K$12&gt;0,N22/$K$12,"")</f>
        <v/>
      </c>
      <c r="K41" s="133" t="str">
        <f t="shared" ref="K41:K52" si="8">IF((C41)&gt;0,N22/(C41),"")</f>
        <v/>
      </c>
      <c r="L41" s="133" t="str">
        <f t="shared" ref="L41:L52" si="9">IF(H22&gt;0,H22/$K$12,"")</f>
        <v/>
      </c>
      <c r="M41" s="134" t="str">
        <f t="shared" ref="M41:M52" si="10">IF((C41)&gt;0,H22/(C41),"")</f>
        <v/>
      </c>
      <c r="N41" s="134">
        <f>IF(($K$12)&gt;0,G41/($K$12),0)</f>
        <v>0</v>
      </c>
      <c r="O41" s="134">
        <f t="shared" ref="O41:O52" si="11">IF((D41)&gt;0,G41/(D41),0)</f>
        <v>0</v>
      </c>
      <c r="R41" s="1"/>
      <c r="Z41" s="1"/>
    </row>
    <row r="42" spans="2:26" ht="18.75" customHeight="1">
      <c r="B42" s="119">
        <f>DATE(YEAR(B41),MONTH(B41)+1,1)</f>
        <v>32</v>
      </c>
      <c r="C42" s="142"/>
      <c r="D42" s="130">
        <f t="shared" si="4"/>
        <v>0</v>
      </c>
      <c r="F42" s="131">
        <f t="shared" si="5"/>
        <v>32</v>
      </c>
      <c r="G42" s="132">
        <f>'Background Calcs'!G6</f>
        <v>0</v>
      </c>
      <c r="I42" s="119">
        <f t="shared" si="6"/>
        <v>32</v>
      </c>
      <c r="J42" s="133" t="str">
        <f t="shared" si="7"/>
        <v/>
      </c>
      <c r="K42" s="133" t="str">
        <f t="shared" si="8"/>
        <v/>
      </c>
      <c r="L42" s="133" t="str">
        <f t="shared" si="9"/>
        <v/>
      </c>
      <c r="M42" s="134" t="str">
        <f t="shared" si="10"/>
        <v/>
      </c>
      <c r="N42" s="134">
        <f t="shared" ref="N42:N52" si="12">IF(($K$12)&gt;0,G42/($K$12),0)</f>
        <v>0</v>
      </c>
      <c r="O42" s="134">
        <f t="shared" si="11"/>
        <v>0</v>
      </c>
      <c r="R42" s="1"/>
      <c r="Z42" s="1"/>
    </row>
    <row r="43" spans="2:26" ht="18.75" customHeight="1">
      <c r="B43" s="119">
        <f t="shared" ref="B43:B52" si="13">DATE(YEAR(B42),MONTH(B42)+1,1)</f>
        <v>61</v>
      </c>
      <c r="C43" s="142"/>
      <c r="D43" s="130">
        <f t="shared" si="4"/>
        <v>0</v>
      </c>
      <c r="F43" s="131">
        <f t="shared" si="5"/>
        <v>61</v>
      </c>
      <c r="G43" s="132">
        <f>'Background Calcs'!G7</f>
        <v>0</v>
      </c>
      <c r="I43" s="119">
        <f t="shared" si="6"/>
        <v>61</v>
      </c>
      <c r="J43" s="133" t="str">
        <f t="shared" si="7"/>
        <v/>
      </c>
      <c r="K43" s="133" t="str">
        <f t="shared" si="8"/>
        <v/>
      </c>
      <c r="L43" s="133" t="str">
        <f t="shared" si="9"/>
        <v/>
      </c>
      <c r="M43" s="134" t="str">
        <f t="shared" si="10"/>
        <v/>
      </c>
      <c r="N43" s="134">
        <f t="shared" si="12"/>
        <v>0</v>
      </c>
      <c r="O43" s="134">
        <f t="shared" si="11"/>
        <v>0</v>
      </c>
      <c r="R43" s="1"/>
      <c r="Z43" s="1"/>
    </row>
    <row r="44" spans="2:26" ht="18.75" customHeight="1">
      <c r="B44" s="119">
        <f t="shared" si="13"/>
        <v>92</v>
      </c>
      <c r="C44" s="142"/>
      <c r="D44" s="130">
        <f t="shared" si="4"/>
        <v>0</v>
      </c>
      <c r="F44" s="131">
        <f t="shared" si="5"/>
        <v>92</v>
      </c>
      <c r="G44" s="132">
        <f>'Background Calcs'!G8</f>
        <v>0</v>
      </c>
      <c r="I44" s="119">
        <f t="shared" si="6"/>
        <v>92</v>
      </c>
      <c r="J44" s="133" t="str">
        <f t="shared" si="7"/>
        <v/>
      </c>
      <c r="K44" s="133" t="str">
        <f t="shared" si="8"/>
        <v/>
      </c>
      <c r="L44" s="133" t="str">
        <f t="shared" si="9"/>
        <v/>
      </c>
      <c r="M44" s="134" t="str">
        <f t="shared" si="10"/>
        <v/>
      </c>
      <c r="N44" s="134">
        <f t="shared" si="12"/>
        <v>0</v>
      </c>
      <c r="O44" s="134">
        <f t="shared" si="11"/>
        <v>0</v>
      </c>
      <c r="R44" s="1"/>
      <c r="Z44" s="1"/>
    </row>
    <row r="45" spans="2:26" ht="18.75" customHeight="1">
      <c r="B45" s="119">
        <f t="shared" si="13"/>
        <v>122</v>
      </c>
      <c r="C45" s="142"/>
      <c r="D45" s="130">
        <f t="shared" si="4"/>
        <v>0</v>
      </c>
      <c r="F45" s="131">
        <f t="shared" si="5"/>
        <v>122</v>
      </c>
      <c r="G45" s="132">
        <f>'Background Calcs'!G9</f>
        <v>0</v>
      </c>
      <c r="I45" s="119">
        <f t="shared" si="6"/>
        <v>122</v>
      </c>
      <c r="J45" s="133" t="str">
        <f t="shared" si="7"/>
        <v/>
      </c>
      <c r="K45" s="133" t="str">
        <f t="shared" si="8"/>
        <v/>
      </c>
      <c r="L45" s="133" t="str">
        <f t="shared" si="9"/>
        <v/>
      </c>
      <c r="M45" s="134" t="str">
        <f t="shared" si="10"/>
        <v/>
      </c>
      <c r="N45" s="134">
        <f t="shared" si="12"/>
        <v>0</v>
      </c>
      <c r="O45" s="134">
        <f t="shared" si="11"/>
        <v>0</v>
      </c>
      <c r="R45" s="1"/>
      <c r="Z45" s="1"/>
    </row>
    <row r="46" spans="2:26" ht="18.75" customHeight="1">
      <c r="B46" s="119">
        <f t="shared" si="13"/>
        <v>153</v>
      </c>
      <c r="C46" s="142"/>
      <c r="D46" s="130">
        <f t="shared" si="4"/>
        <v>0</v>
      </c>
      <c r="F46" s="131">
        <f t="shared" si="5"/>
        <v>153</v>
      </c>
      <c r="G46" s="132">
        <f>'Background Calcs'!G10</f>
        <v>0</v>
      </c>
      <c r="I46" s="119">
        <f t="shared" si="6"/>
        <v>153</v>
      </c>
      <c r="J46" s="133" t="str">
        <f t="shared" si="7"/>
        <v/>
      </c>
      <c r="K46" s="133" t="str">
        <f t="shared" si="8"/>
        <v/>
      </c>
      <c r="L46" s="133" t="str">
        <f t="shared" si="9"/>
        <v/>
      </c>
      <c r="M46" s="134" t="str">
        <f t="shared" si="10"/>
        <v/>
      </c>
      <c r="N46" s="134">
        <f t="shared" si="12"/>
        <v>0</v>
      </c>
      <c r="O46" s="134">
        <f t="shared" si="11"/>
        <v>0</v>
      </c>
      <c r="R46" s="1"/>
      <c r="Z46" s="1"/>
    </row>
    <row r="47" spans="2:26" ht="18.75" customHeight="1">
      <c r="B47" s="119">
        <f t="shared" si="13"/>
        <v>183</v>
      </c>
      <c r="C47" s="142"/>
      <c r="D47" s="130">
        <f t="shared" si="4"/>
        <v>0</v>
      </c>
      <c r="F47" s="131">
        <f t="shared" si="5"/>
        <v>183</v>
      </c>
      <c r="G47" s="132">
        <f>'Background Calcs'!G11</f>
        <v>0</v>
      </c>
      <c r="I47" s="119">
        <f t="shared" si="6"/>
        <v>183</v>
      </c>
      <c r="J47" s="133" t="str">
        <f t="shared" si="7"/>
        <v/>
      </c>
      <c r="K47" s="133" t="str">
        <f t="shared" si="8"/>
        <v/>
      </c>
      <c r="L47" s="133" t="str">
        <f t="shared" si="9"/>
        <v/>
      </c>
      <c r="M47" s="134" t="str">
        <f t="shared" si="10"/>
        <v/>
      </c>
      <c r="N47" s="134">
        <f t="shared" si="12"/>
        <v>0</v>
      </c>
      <c r="O47" s="134">
        <f t="shared" si="11"/>
        <v>0</v>
      </c>
      <c r="R47" s="1"/>
      <c r="Z47" s="1"/>
    </row>
    <row r="48" spans="2:26" ht="18.75" customHeight="1">
      <c r="B48" s="119">
        <f t="shared" si="13"/>
        <v>214</v>
      </c>
      <c r="C48" s="142"/>
      <c r="D48" s="130">
        <f t="shared" si="4"/>
        <v>0</v>
      </c>
      <c r="F48" s="131">
        <f t="shared" si="5"/>
        <v>214</v>
      </c>
      <c r="G48" s="132">
        <f>'Background Calcs'!G12</f>
        <v>0</v>
      </c>
      <c r="I48" s="119">
        <f t="shared" si="6"/>
        <v>214</v>
      </c>
      <c r="J48" s="133" t="str">
        <f>IF($K$12&gt;0,N29/$K$12,"")</f>
        <v/>
      </c>
      <c r="K48" s="133" t="str">
        <f t="shared" si="8"/>
        <v/>
      </c>
      <c r="L48" s="133" t="str">
        <f t="shared" si="9"/>
        <v/>
      </c>
      <c r="M48" s="134" t="str">
        <f t="shared" si="10"/>
        <v/>
      </c>
      <c r="N48" s="134">
        <f t="shared" si="12"/>
        <v>0</v>
      </c>
      <c r="O48" s="134">
        <f t="shared" si="11"/>
        <v>0</v>
      </c>
      <c r="R48" s="1"/>
      <c r="Z48" s="1"/>
    </row>
    <row r="49" spans="2:26" ht="18.75" customHeight="1">
      <c r="B49" s="119">
        <f t="shared" si="13"/>
        <v>245</v>
      </c>
      <c r="C49" s="142"/>
      <c r="D49" s="130">
        <f t="shared" si="4"/>
        <v>0</v>
      </c>
      <c r="F49" s="131">
        <f t="shared" si="5"/>
        <v>245</v>
      </c>
      <c r="G49" s="132">
        <f>'Background Calcs'!G13</f>
        <v>0</v>
      </c>
      <c r="I49" s="119">
        <f t="shared" si="6"/>
        <v>245</v>
      </c>
      <c r="J49" s="133" t="str">
        <f t="shared" si="7"/>
        <v/>
      </c>
      <c r="K49" s="133" t="str">
        <f t="shared" si="8"/>
        <v/>
      </c>
      <c r="L49" s="133" t="str">
        <f t="shared" si="9"/>
        <v/>
      </c>
      <c r="M49" s="134" t="str">
        <f t="shared" si="10"/>
        <v/>
      </c>
      <c r="N49" s="134">
        <f t="shared" si="12"/>
        <v>0</v>
      </c>
      <c r="O49" s="134">
        <f t="shared" si="11"/>
        <v>0</v>
      </c>
      <c r="R49" s="1"/>
      <c r="Z49" s="1"/>
    </row>
    <row r="50" spans="2:26" ht="18.75" customHeight="1">
      <c r="B50" s="119">
        <f t="shared" si="13"/>
        <v>275</v>
      </c>
      <c r="C50" s="142"/>
      <c r="D50" s="130">
        <f t="shared" si="4"/>
        <v>0</v>
      </c>
      <c r="F50" s="131">
        <f t="shared" si="5"/>
        <v>275</v>
      </c>
      <c r="G50" s="132">
        <f>'Background Calcs'!G14</f>
        <v>0</v>
      </c>
      <c r="I50" s="119">
        <f t="shared" si="6"/>
        <v>275</v>
      </c>
      <c r="J50" s="133" t="str">
        <f t="shared" si="7"/>
        <v/>
      </c>
      <c r="K50" s="133" t="str">
        <f t="shared" si="8"/>
        <v/>
      </c>
      <c r="L50" s="133" t="str">
        <f t="shared" si="9"/>
        <v/>
      </c>
      <c r="M50" s="134" t="str">
        <f t="shared" si="10"/>
        <v/>
      </c>
      <c r="N50" s="134">
        <f t="shared" si="12"/>
        <v>0</v>
      </c>
      <c r="O50" s="134">
        <f t="shared" si="11"/>
        <v>0</v>
      </c>
      <c r="R50" s="1"/>
      <c r="U50"/>
      <c r="Z50" s="1"/>
    </row>
    <row r="51" spans="2:26" ht="18.75" customHeight="1">
      <c r="B51" s="119">
        <f t="shared" si="13"/>
        <v>306</v>
      </c>
      <c r="C51" s="142"/>
      <c r="D51" s="130">
        <f t="shared" si="4"/>
        <v>0</v>
      </c>
      <c r="F51" s="131">
        <f t="shared" si="5"/>
        <v>306</v>
      </c>
      <c r="G51" s="132">
        <f>'Background Calcs'!G15</f>
        <v>0</v>
      </c>
      <c r="I51" s="119">
        <f t="shared" si="6"/>
        <v>306</v>
      </c>
      <c r="J51" s="133" t="str">
        <f t="shared" si="7"/>
        <v/>
      </c>
      <c r="K51" s="133" t="str">
        <f t="shared" si="8"/>
        <v/>
      </c>
      <c r="L51" s="133" t="str">
        <f t="shared" si="9"/>
        <v/>
      </c>
      <c r="M51" s="134" t="str">
        <f t="shared" si="10"/>
        <v/>
      </c>
      <c r="N51" s="134">
        <f t="shared" si="12"/>
        <v>0</v>
      </c>
      <c r="O51" s="134">
        <f t="shared" si="11"/>
        <v>0</v>
      </c>
      <c r="R51" s="1"/>
      <c r="U51"/>
      <c r="Z51" s="1"/>
    </row>
    <row r="52" spans="2:26" ht="18.75" customHeight="1">
      <c r="B52" s="119">
        <f t="shared" si="13"/>
        <v>336</v>
      </c>
      <c r="C52" s="142"/>
      <c r="D52" s="130">
        <f t="shared" si="4"/>
        <v>0</v>
      </c>
      <c r="F52" s="135">
        <f t="shared" si="5"/>
        <v>336</v>
      </c>
      <c r="G52" s="132">
        <f>'Background Calcs'!G16</f>
        <v>0</v>
      </c>
      <c r="I52" s="135">
        <f t="shared" si="6"/>
        <v>336</v>
      </c>
      <c r="J52" s="133" t="str">
        <f t="shared" si="7"/>
        <v/>
      </c>
      <c r="K52" s="133" t="str">
        <f t="shared" si="8"/>
        <v/>
      </c>
      <c r="L52" s="133" t="str">
        <f t="shared" si="9"/>
        <v/>
      </c>
      <c r="M52" s="134" t="str">
        <f t="shared" si="10"/>
        <v/>
      </c>
      <c r="N52" s="134">
        <f t="shared" si="12"/>
        <v>0</v>
      </c>
      <c r="O52" s="134">
        <f t="shared" si="11"/>
        <v>0</v>
      </c>
      <c r="R52" s="1"/>
      <c r="U52"/>
      <c r="Z52" s="1"/>
    </row>
    <row r="53" spans="2:26" ht="18.75" customHeight="1">
      <c r="B53" s="121" t="s">
        <v>59</v>
      </c>
      <c r="C53" s="136">
        <f>IFERROR(AVERAGE(C41:C52),0)</f>
        <v>0</v>
      </c>
      <c r="D53" s="136">
        <f>AVERAGE(D41:D52)</f>
        <v>0</v>
      </c>
      <c r="F53" s="121" t="s">
        <v>32</v>
      </c>
      <c r="G53" s="132">
        <f>SUM(G41:G52)</f>
        <v>0</v>
      </c>
      <c r="I53" s="122" t="s">
        <v>59</v>
      </c>
      <c r="J53" s="137">
        <f t="shared" ref="J53" si="14">IFERROR(AVERAGE(J41:J52),0)</f>
        <v>0</v>
      </c>
      <c r="K53" s="137">
        <f>IFERROR(AVERAGE(K41:K52),0)</f>
        <v>0</v>
      </c>
      <c r="L53" s="137">
        <f>IFERROR(AVERAGE(L41:L52),0)</f>
        <v>0</v>
      </c>
      <c r="M53" s="138">
        <f>IFERROR(AVERAGE(M41:M52),0)</f>
        <v>0</v>
      </c>
      <c r="N53" s="138">
        <f>IFERROR(AVERAGE(N41:N52),0)</f>
        <v>0</v>
      </c>
      <c r="O53" s="138">
        <f>IFERROR(AVERAGE(O41:O52),0)</f>
        <v>0</v>
      </c>
      <c r="R53" s="1"/>
      <c r="U53"/>
      <c r="Z53" s="1"/>
    </row>
    <row r="54" spans="2:26"/>
    <row r="55" spans="2:26"/>
    <row r="56" spans="2:26" ht="49.5" customHeight="1"/>
    <row r="57" spans="2:26" ht="33.75" customHeight="1"/>
    <row r="58" spans="2:26" ht="18.75" customHeight="1"/>
    <row r="59" spans="2:26" ht="18.75" customHeight="1"/>
    <row r="60" spans="2:26" ht="18.75" customHeight="1"/>
    <row r="61" spans="2:26" ht="18.75" customHeight="1"/>
    <row r="62" spans="2:26" ht="18.75" customHeight="1"/>
    <row r="63" spans="2:26" ht="18.75" customHeight="1"/>
    <row r="64" spans="2:26" ht="18.75" customHeight="1"/>
    <row r="65" ht="18.75" customHeight="1"/>
    <row r="66" ht="18.75" customHeight="1"/>
    <row r="67" ht="18.75" customHeight="1"/>
    <row r="68" ht="18.75" customHeight="1"/>
    <row r="69" ht="18.75" customHeight="1"/>
    <row r="70" ht="18.75" customHeight="1"/>
    <row r="71"/>
    <row r="72"/>
    <row r="73"/>
    <row r="74"/>
    <row r="75"/>
    <row r="76"/>
    <row r="77"/>
    <row r="78"/>
    <row r="79"/>
  </sheetData>
  <sheetProtection algorithmName="SHA-512" hashValue="By7ira4dStlfzS/EmmMjWLh6NZWEFif292NHY6EjBfaML3pgjpUzVPeyK7PLshEhN08TvBT5t2iowTL3rcIOdQ==" saltValue="0qf6VIpGtw+k/WqSMBE17g==" spinCount="100000" sheet="1" objects="1" scenarios="1"/>
  <protectedRanges>
    <protectedRange sqref="C12:E12" name="Range1_1"/>
    <protectedRange sqref="C22:G33 J22:M33 G12:J12" name="Range1_2"/>
    <protectedRange sqref="C41:C52" name="Range1_3"/>
  </protectedRanges>
  <mergeCells count="13">
    <mergeCell ref="B1:AC1"/>
    <mergeCell ref="J19:J20"/>
    <mergeCell ref="J39:K39"/>
    <mergeCell ref="J18:N18"/>
    <mergeCell ref="C15:E15"/>
    <mergeCell ref="G4:N7"/>
    <mergeCell ref="C19:C20"/>
    <mergeCell ref="C18:H18"/>
    <mergeCell ref="D19:D20"/>
    <mergeCell ref="G10:K10"/>
    <mergeCell ref="L39:M39"/>
    <mergeCell ref="N39:O39"/>
    <mergeCell ref="J15:L15"/>
  </mergeCells>
  <phoneticPr fontId="8" type="noConversion"/>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2193447E-2BA0-492A-8AAB-8E9CF0D8C7C7}">
          <x14:formula1>
            <xm:f>'Background Calcs'!$K$5:$K$10</xm:f>
          </x14:formula1>
          <xm:sqref>D39</xm:sqref>
        </x14:dataValidation>
        <x14:dataValidation type="list" allowBlank="1" showInputMessage="1" showErrorMessage="1" xr:uid="{C302440C-9E72-43D9-8A65-6DA57A375334}">
          <x14:formula1>
            <xm:f>'Background Calcs'!$D$22:$S$22</xm:f>
          </x14:formula1>
          <xm:sqref>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B9BE-15C7-4A4B-B117-1D200EA19EB1}">
  <sheetPr codeName="Sheet3"/>
  <dimension ref="A1:AE102"/>
  <sheetViews>
    <sheetView showGridLines="0" topLeftCell="A54" zoomScaleNormal="100" workbookViewId="0">
      <selection activeCell="B1" sqref="B1"/>
    </sheetView>
  </sheetViews>
  <sheetFormatPr defaultColWidth="0" defaultRowHeight="15" zeroHeight="1"/>
  <cols>
    <col min="1" max="20" width="9.28515625" style="28" customWidth="1"/>
    <col min="21" max="22" width="9.28515625" style="28" hidden="1" customWidth="1"/>
    <col min="23" max="16384" width="9.28515625" style="28" hidden="1"/>
  </cols>
  <sheetData>
    <row r="1" spans="1:31" customFormat="1" ht="122.1" customHeight="1">
      <c r="A1" s="68" t="s">
        <v>0</v>
      </c>
      <c r="B1" s="145" t="str">
        <f>"Summary Graphs for: "&amp;'Energy Calculator'!$C$12</f>
        <v xml:space="preserve">Summary Graphs for: </v>
      </c>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89"/>
      <c r="AE1" s="89"/>
    </row>
    <row r="2" spans="1:31" s="43" customFormat="1">
      <c r="D2" s="51"/>
      <c r="E2" s="52"/>
    </row>
    <row r="3" spans="1:31"/>
    <row r="4" spans="1:31"/>
    <row r="5" spans="1:31"/>
    <row r="6" spans="1:31"/>
    <row r="7" spans="1:31"/>
    <row r="8" spans="1:31"/>
    <row r="9" spans="1:31"/>
    <row r="10" spans="1:31"/>
    <row r="11" spans="1:31"/>
    <row r="12" spans="1:31"/>
    <row r="13" spans="1:31"/>
    <row r="14" spans="1:31"/>
    <row r="15" spans="1:31"/>
    <row r="16" spans="1:31"/>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sheetData>
  <sheetProtection algorithmName="SHA-512" hashValue="xxi2e9GjLhms2gRmUACUGx6UnGm99FWNFVNSzBXj9YoQ5AXwqPDUn4kUQB0FV/uAKBcETHsMow10pEX+Aw7m2Q==" saltValue="kpAaNs520wb0gKYcsrYbQg==" spinCount="100000" sheet="1" selectLockedCells="1" selectUnlockedCells="1"/>
  <mergeCells count="1">
    <mergeCell ref="B1:AC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58DC-D774-4DE2-B115-6AB848D9DA84}">
  <sheetPr codeName="Sheet4"/>
  <dimension ref="B1:S18"/>
  <sheetViews>
    <sheetView showGridLines="0" zoomScale="115" zoomScaleNormal="115" workbookViewId="0">
      <selection activeCell="C11" sqref="C11"/>
    </sheetView>
  </sheetViews>
  <sheetFormatPr defaultColWidth="8.7109375" defaultRowHeight="15"/>
  <cols>
    <col min="1" max="1" width="8.7109375" style="28" customWidth="1"/>
    <col min="2" max="2" width="40.42578125" style="28" bestFit="1" customWidth="1"/>
    <col min="3" max="3" width="18.7109375" style="28" customWidth="1"/>
    <col min="4" max="4" width="19.28515625" style="28" customWidth="1"/>
    <col min="5" max="6" width="15.5703125" style="28" customWidth="1"/>
    <col min="7" max="7" width="15.5703125" style="28" hidden="1" customWidth="1"/>
    <col min="8" max="11" width="8.7109375" style="28" customWidth="1"/>
    <col min="12" max="12" width="10.42578125" style="28" customWidth="1"/>
    <col min="13" max="18" width="8.7109375" style="28" customWidth="1"/>
    <col min="19" max="19" width="24.7109375" style="28" customWidth="1"/>
    <col min="20" max="20" width="8.7109375" style="28" customWidth="1"/>
    <col min="21" max="16384" width="8.7109375" style="28"/>
  </cols>
  <sheetData>
    <row r="1" spans="2:19" ht="18.75">
      <c r="B1" s="34" t="s">
        <v>60</v>
      </c>
      <c r="C1" s="35"/>
      <c r="E1" s="35"/>
      <c r="M1" s="38"/>
      <c r="N1" s="36"/>
      <c r="Q1" s="37"/>
      <c r="S1" s="38"/>
    </row>
    <row r="2" spans="2:19">
      <c r="B2" s="42"/>
      <c r="C2" s="47"/>
      <c r="D2" s="42"/>
      <c r="E2" s="42"/>
      <c r="F2" s="3"/>
      <c r="G2" s="42"/>
      <c r="H2" s="3"/>
      <c r="I2" s="42"/>
      <c r="J2" s="47"/>
      <c r="K2" s="47"/>
      <c r="L2" s="47"/>
      <c r="M2" s="40"/>
      <c r="N2" s="48"/>
      <c r="O2" s="47"/>
      <c r="P2" s="47"/>
      <c r="Q2" s="3"/>
      <c r="R2" s="47"/>
      <c r="S2" s="3"/>
    </row>
    <row r="3" spans="2:19">
      <c r="B3" s="46" t="s">
        <v>61</v>
      </c>
      <c r="C3" s="44"/>
      <c r="D3" s="44"/>
      <c r="E3" s="44"/>
      <c r="F3"/>
      <c r="G3" s="44"/>
      <c r="H3"/>
      <c r="I3" s="53" t="s">
        <v>62</v>
      </c>
      <c r="J3" s="44"/>
      <c r="K3" s="44"/>
      <c r="L3" s="44"/>
      <c r="M3" s="41"/>
      <c r="N3" s="49"/>
      <c r="O3" s="44"/>
      <c r="P3" s="44"/>
      <c r="Q3"/>
      <c r="R3" s="44"/>
      <c r="S3"/>
    </row>
    <row r="4" spans="2:19">
      <c r="B4" s="30" t="s">
        <v>63</v>
      </c>
      <c r="C4" s="29">
        <f>1000/3.6</f>
        <v>277.77777777777777</v>
      </c>
      <c r="D4" s="31"/>
      <c r="F4" s="37"/>
      <c r="H4" s="37"/>
      <c r="M4" s="38"/>
      <c r="N4" s="36"/>
      <c r="Q4" s="37"/>
      <c r="S4" s="38"/>
    </row>
    <row r="5" spans="2:19">
      <c r="B5" s="30" t="s">
        <v>64</v>
      </c>
      <c r="C5" s="29">
        <f>2858/411</f>
        <v>6.9537712895377126</v>
      </c>
      <c r="F5" s="37"/>
      <c r="H5" s="37"/>
      <c r="I5" s="31" t="s">
        <v>65</v>
      </c>
      <c r="M5" s="38"/>
      <c r="N5" s="36"/>
      <c r="Q5" s="37"/>
      <c r="S5" s="38"/>
    </row>
    <row r="6" spans="2:19">
      <c r="B6" s="30" t="s">
        <v>66</v>
      </c>
      <c r="C6" s="29">
        <f>2858/210</f>
        <v>13.609523809523809</v>
      </c>
      <c r="F6" s="37"/>
      <c r="H6" s="37"/>
      <c r="I6" s="31" t="s">
        <v>65</v>
      </c>
      <c r="M6" s="38"/>
      <c r="N6" s="36"/>
      <c r="Q6" s="37"/>
      <c r="S6" s="38"/>
    </row>
    <row r="7" spans="2:19" ht="15.4" customHeight="1">
      <c r="B7" s="30" t="s">
        <v>67</v>
      </c>
      <c r="C7" s="29">
        <f>38.1*C4/1000</f>
        <v>10.583333333333334</v>
      </c>
      <c r="F7" s="37"/>
      <c r="H7" s="37"/>
      <c r="I7" s="31" t="s">
        <v>68</v>
      </c>
      <c r="M7" s="38"/>
      <c r="N7" s="36"/>
      <c r="Q7" s="50"/>
      <c r="S7" s="38"/>
    </row>
    <row r="8" spans="2:19">
      <c r="B8" s="33" t="s">
        <v>69</v>
      </c>
      <c r="F8" s="37"/>
      <c r="H8" s="37"/>
      <c r="I8" s="2" t="s">
        <v>70</v>
      </c>
      <c r="M8" s="38"/>
      <c r="N8" s="36"/>
      <c r="Q8" s="37"/>
      <c r="S8" s="38"/>
    </row>
    <row r="9" spans="2:19">
      <c r="B9" s="30" t="s">
        <v>71</v>
      </c>
      <c r="C9" s="56">
        <f>0.0729</f>
        <v>7.2900000000000006E-2</v>
      </c>
      <c r="D9" s="28" t="s">
        <v>72</v>
      </c>
      <c r="F9" s="37"/>
      <c r="H9" s="37"/>
      <c r="I9" s="31"/>
      <c r="M9" s="38"/>
      <c r="N9" s="36"/>
      <c r="Q9" s="37"/>
      <c r="S9" s="38"/>
    </row>
    <row r="10" spans="2:19">
      <c r="B10" s="30" t="s">
        <v>73</v>
      </c>
      <c r="C10" s="32">
        <f>2.97/C6</f>
        <v>0.21822953114065782</v>
      </c>
      <c r="F10" s="37"/>
      <c r="H10" s="37"/>
      <c r="I10" s="31"/>
      <c r="M10" s="38"/>
      <c r="N10" s="36"/>
      <c r="Q10" s="37"/>
      <c r="S10" s="38"/>
    </row>
    <row r="11" spans="2:19">
      <c r="B11" s="30" t="s">
        <v>74</v>
      </c>
      <c r="C11" s="32">
        <f>2.67/C7</f>
        <v>0.25228346456692913</v>
      </c>
      <c r="F11" s="37"/>
      <c r="H11" s="37"/>
      <c r="I11" s="31"/>
      <c r="M11" s="38"/>
      <c r="N11" s="36"/>
      <c r="Q11" s="37"/>
      <c r="S11" s="38"/>
    </row>
    <row r="12" spans="2:19">
      <c r="B12" s="61" t="s">
        <v>75</v>
      </c>
      <c r="C12" s="62">
        <v>0.19500000000000001</v>
      </c>
      <c r="D12" s="44"/>
      <c r="E12" s="44"/>
      <c r="F12"/>
      <c r="G12" s="44"/>
      <c r="H12"/>
      <c r="I12" s="63"/>
      <c r="J12" s="44"/>
      <c r="K12" s="44"/>
      <c r="L12" s="44"/>
      <c r="M12" s="64"/>
      <c r="N12" s="65"/>
      <c r="O12" s="66"/>
      <c r="P12" s="66"/>
      <c r="Q12" s="67"/>
      <c r="R12" s="66"/>
      <c r="S12"/>
    </row>
    <row r="13" spans="2:19">
      <c r="B13" s="46" t="s">
        <v>76</v>
      </c>
      <c r="C13" s="44" t="s">
        <v>77</v>
      </c>
      <c r="D13" s="44"/>
      <c r="E13" s="44"/>
      <c r="F13"/>
      <c r="G13" s="44"/>
      <c r="I13" s="2" t="s">
        <v>78</v>
      </c>
      <c r="J13" s="39"/>
      <c r="K13" s="39"/>
      <c r="L13" s="44"/>
      <c r="M13" s="45"/>
      <c r="N13" s="49"/>
      <c r="O13" s="44"/>
      <c r="P13" s="44"/>
      <c r="Q13"/>
      <c r="R13" s="43"/>
      <c r="S13"/>
    </row>
    <row r="14" spans="2:19">
      <c r="B14" s="55" t="s">
        <v>79</v>
      </c>
      <c r="C14" s="54">
        <v>45567</v>
      </c>
      <c r="F14" s="37"/>
      <c r="H14" s="37"/>
      <c r="M14" s="38"/>
      <c r="N14" s="36"/>
      <c r="Q14" s="37"/>
      <c r="S14" s="38"/>
    </row>
    <row r="15" spans="2:19">
      <c r="F15" s="36"/>
      <c r="H15" s="38"/>
      <c r="M15" s="38"/>
      <c r="N15" s="36"/>
      <c r="Q15" s="37"/>
      <c r="S15" s="38"/>
    </row>
    <row r="16" spans="2:19">
      <c r="C16" s="29"/>
      <c r="F16" s="36"/>
      <c r="H16" s="38"/>
      <c r="M16" s="38"/>
      <c r="Q16" s="37"/>
      <c r="S16" s="38"/>
    </row>
    <row r="17" spans="13:19">
      <c r="M17" s="38"/>
      <c r="Q17" s="36"/>
      <c r="S17" s="38"/>
    </row>
    <row r="18" spans="13:19">
      <c r="M18" s="38"/>
    </row>
  </sheetData>
  <sheetProtection algorithmName="SHA-512" hashValue="ulxY7B+cLi9uo2hA3JqvP+UQM1miiYHluqFT0LFURp4jJ/UMLL0MCf2ydeHoG7y3RA4nF06P+wS+wuwW8rGwVg==" saltValue="tpYt9TU/lFt8xYkso2JEXA==" spinCount="100000" sheet="1" objects="1" scenarios="1"/>
  <hyperlinks>
    <hyperlink ref="I5" r:id="rId1" xr:uid="{141CA5CF-FBAE-4A66-82DC-26D6C705FE58}"/>
    <hyperlink ref="I6" r:id="rId2" xr:uid="{6E175DCC-0CE2-4ACB-8984-A96FAD0BD17B}"/>
    <hyperlink ref="I13" r:id="rId3" xr:uid="{B53D130D-8D43-4B87-8461-0638E2019086}"/>
    <hyperlink ref="I7" r:id="rId4" xr:uid="{844CBFE5-9624-4B18-BF7D-C0CC2AC59682}"/>
    <hyperlink ref="I8" r:id="rId5" display="https://environment.govt.nz/assets/publications/Measuring-Emissions-2024/Measuring-emissions_Detailed-guide_2024_ME1829.pdf" xr:uid="{C18DA4D8-1BDF-4996-B7D2-74F1C6028CA8}"/>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6DF7-71E0-4CF3-9E78-D17CED3293E9}">
  <sheetPr codeName="Sheet5"/>
  <dimension ref="A1"/>
  <sheetViews>
    <sheetView zoomScale="85" zoomScaleNormal="85" workbookViewId="0">
      <selection activeCell="V51" sqref="V51"/>
    </sheetView>
  </sheetViews>
  <sheetFormatPr defaultRowHeight="15"/>
  <sheetData/>
  <sheetProtection algorithmName="SHA-512" hashValue="QBzJMRfAA2CQsDr1DQQORaUTs7rvlC2B5FvIiZNXe0F1yHzY9L/PwB+DvQYM/hQUG03A1KnwLPeuuWwLRl9R7Q==" saltValue="DU0fcoANP13cDXIt60AFZg=="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EBA7-099E-4319-8C19-AEFA02CC8B08}">
  <sheetPr codeName="Sheet6"/>
  <dimension ref="B3:Y35"/>
  <sheetViews>
    <sheetView showGridLines="0" zoomScale="70" zoomScaleNormal="70" workbookViewId="0">
      <selection activeCell="D8" sqref="D8"/>
    </sheetView>
  </sheetViews>
  <sheetFormatPr defaultRowHeight="15"/>
  <cols>
    <col min="2" max="9" width="11.5703125" customWidth="1"/>
    <col min="10" max="10" width="10.28515625" customWidth="1"/>
    <col min="11" max="11" width="12" customWidth="1"/>
    <col min="12" max="12" width="12.28515625" customWidth="1"/>
    <col min="13" max="13" width="14.7109375" customWidth="1"/>
    <col min="14" max="14" width="12.7109375" customWidth="1"/>
    <col min="16" max="16" width="10.28515625" customWidth="1"/>
    <col min="17" max="17" width="9.28515625" customWidth="1"/>
    <col min="18" max="18" width="12.42578125" customWidth="1"/>
  </cols>
  <sheetData>
    <row r="3" spans="2:25" ht="33.75" customHeight="1">
      <c r="B3" s="5"/>
      <c r="C3" s="6" t="s">
        <v>80</v>
      </c>
      <c r="D3" s="7"/>
      <c r="E3" s="7"/>
      <c r="F3" s="7"/>
      <c r="G3" s="8"/>
      <c r="H3" s="1"/>
      <c r="I3" s="1"/>
      <c r="J3" s="1"/>
      <c r="K3" s="1"/>
      <c r="L3" s="1"/>
      <c r="M3" s="1"/>
      <c r="N3" s="1"/>
      <c r="O3" s="1"/>
      <c r="P3" s="1"/>
      <c r="Q3" s="1"/>
      <c r="R3" s="1"/>
      <c r="S3" s="1"/>
      <c r="T3" s="1"/>
      <c r="U3" s="1"/>
      <c r="V3" s="1"/>
      <c r="W3" s="1"/>
      <c r="X3" s="1"/>
      <c r="Y3" s="1"/>
    </row>
    <row r="4" spans="2:25" ht="36.75" customHeight="1">
      <c r="B4" s="58" t="s">
        <v>81</v>
      </c>
      <c r="C4" s="59" t="s">
        <v>82</v>
      </c>
      <c r="D4" s="59" t="s">
        <v>83</v>
      </c>
      <c r="E4" s="59" t="s">
        <v>84</v>
      </c>
      <c r="F4" s="59" t="s">
        <v>42</v>
      </c>
      <c r="G4" s="60" t="s">
        <v>32</v>
      </c>
      <c r="H4" s="1"/>
      <c r="K4" s="57" t="s">
        <v>85</v>
      </c>
    </row>
    <row r="5" spans="2:25" ht="15.75">
      <c r="B5" s="9">
        <f>'Energy Calculator'!B41</f>
        <v>0</v>
      </c>
      <c r="C5" s="10">
        <f>'Energy Calculator'!C22*Parameters!$C$9</f>
        <v>0</v>
      </c>
      <c r="D5" s="10">
        <f>'Energy Calculator'!E22*Parameters!$C$7*Parameters!$C$11</f>
        <v>0</v>
      </c>
      <c r="E5" s="10">
        <f>'Energy Calculator'!F22*Parameters!$C$6*Parameters!$C$10</f>
        <v>0</v>
      </c>
      <c r="F5" s="10">
        <f>'Energy Calculator'!G22*Parameters!$C$4*Parameters!$C$12</f>
        <v>0</v>
      </c>
      <c r="G5" s="13">
        <f>SUM(C5:F5)</f>
        <v>0</v>
      </c>
      <c r="H5" s="1"/>
      <c r="K5" s="10" t="s">
        <v>86</v>
      </c>
    </row>
    <row r="6" spans="2:25" ht="15.75">
      <c r="B6" s="9">
        <f>'Energy Calculator'!B42</f>
        <v>32</v>
      </c>
      <c r="C6" s="10">
        <f>'Energy Calculator'!C23*Parameters!$C$9</f>
        <v>0</v>
      </c>
      <c r="D6" s="10">
        <f>'Energy Calculator'!E23*Parameters!$C$7*Parameters!$C$11</f>
        <v>0</v>
      </c>
      <c r="E6" s="10">
        <f>'Energy Calculator'!F23*Parameters!$C$6*Parameters!$C$10</f>
        <v>0</v>
      </c>
      <c r="F6" s="10">
        <f>'Energy Calculator'!G23*Parameters!$C$4*Parameters!$C$12</f>
        <v>0</v>
      </c>
      <c r="G6" s="13">
        <f t="shared" ref="G6:G17" si="0">SUM(C6:F6)</f>
        <v>0</v>
      </c>
      <c r="H6" s="1"/>
      <c r="K6" s="10" t="s">
        <v>50</v>
      </c>
    </row>
    <row r="7" spans="2:25" ht="15.75">
      <c r="B7" s="9">
        <f>'Energy Calculator'!B43</f>
        <v>61</v>
      </c>
      <c r="C7" s="10">
        <f>'Energy Calculator'!C24*Parameters!$C$9</f>
        <v>0</v>
      </c>
      <c r="D7" s="10">
        <f>'Energy Calculator'!E24*Parameters!$C$7*Parameters!$C$11</f>
        <v>0</v>
      </c>
      <c r="E7" s="10">
        <f>'Energy Calculator'!F24*Parameters!$C$6*Parameters!$C$10</f>
        <v>0</v>
      </c>
      <c r="F7" s="10">
        <f>'Energy Calculator'!G24*Parameters!$C$4*Parameters!$C$12</f>
        <v>0</v>
      </c>
      <c r="G7" s="13">
        <f t="shared" si="0"/>
        <v>0</v>
      </c>
      <c r="H7" s="1"/>
      <c r="K7" s="10" t="s">
        <v>87</v>
      </c>
    </row>
    <row r="8" spans="2:25" ht="15.75">
      <c r="B8" s="9">
        <f>'Energy Calculator'!B44</f>
        <v>92</v>
      </c>
      <c r="C8" s="10">
        <f>'Energy Calculator'!C25*Parameters!$C$9</f>
        <v>0</v>
      </c>
      <c r="D8" s="10">
        <f>'Energy Calculator'!E25*Parameters!$C$7*Parameters!$C$11</f>
        <v>0</v>
      </c>
      <c r="E8" s="10">
        <f>'Energy Calculator'!F25*Parameters!$C$6*Parameters!$C$10</f>
        <v>0</v>
      </c>
      <c r="F8" s="10">
        <f>'Energy Calculator'!G25*Parameters!$C$4*Parameters!$C$12</f>
        <v>0</v>
      </c>
      <c r="G8" s="13">
        <f t="shared" si="0"/>
        <v>0</v>
      </c>
      <c r="H8" s="1"/>
      <c r="K8" s="10" t="s">
        <v>88</v>
      </c>
    </row>
    <row r="9" spans="2:25" ht="15.75">
      <c r="B9" s="9">
        <f>'Energy Calculator'!B45</f>
        <v>122</v>
      </c>
      <c r="C9" s="10">
        <f>'Energy Calculator'!C26*Parameters!$C$9</f>
        <v>0</v>
      </c>
      <c r="D9" s="10">
        <f>'Energy Calculator'!E26*Parameters!$C$7*Parameters!$C$11</f>
        <v>0</v>
      </c>
      <c r="E9" s="10">
        <f>'Energy Calculator'!F26*Parameters!$C$6*Parameters!$C$10</f>
        <v>0</v>
      </c>
      <c r="F9" s="10">
        <f>'Energy Calculator'!G26*Parameters!$C$4*Parameters!$C$12</f>
        <v>0</v>
      </c>
      <c r="G9" s="13">
        <f t="shared" si="0"/>
        <v>0</v>
      </c>
      <c r="H9" s="1"/>
      <c r="K9" s="10"/>
    </row>
    <row r="10" spans="2:25" ht="15.75">
      <c r="B10" s="9">
        <f>'Energy Calculator'!B46</f>
        <v>153</v>
      </c>
      <c r="C10" s="10">
        <f>'Energy Calculator'!C27*Parameters!$C$9</f>
        <v>0</v>
      </c>
      <c r="D10" s="10">
        <f>'Energy Calculator'!E27*Parameters!$C$7*Parameters!$C$11</f>
        <v>0</v>
      </c>
      <c r="E10" s="10">
        <f>'Energy Calculator'!F27*Parameters!$C$6*Parameters!$C$10</f>
        <v>0</v>
      </c>
      <c r="F10" s="10">
        <f>'Energy Calculator'!G27*Parameters!$C$4*Parameters!$C$12</f>
        <v>0</v>
      </c>
      <c r="G10" s="13">
        <f t="shared" si="0"/>
        <v>0</v>
      </c>
      <c r="H10" s="1"/>
      <c r="K10" s="10"/>
    </row>
    <row r="11" spans="2:25" ht="15.75">
      <c r="B11" s="9">
        <f>'Energy Calculator'!B47</f>
        <v>183</v>
      </c>
      <c r="C11" s="10">
        <f>'Energy Calculator'!C28*Parameters!$C$9</f>
        <v>0</v>
      </c>
      <c r="D11" s="10">
        <f>'Energy Calculator'!E28*Parameters!$C$7*Parameters!$C$11</f>
        <v>0</v>
      </c>
      <c r="E11" s="10">
        <f>'Energy Calculator'!F28*Parameters!$C$6*Parameters!$C$10</f>
        <v>0</v>
      </c>
      <c r="F11" s="10">
        <f>'Energy Calculator'!G28*Parameters!$C$4*Parameters!$C$12</f>
        <v>0</v>
      </c>
      <c r="G11" s="13">
        <f t="shared" si="0"/>
        <v>0</v>
      </c>
      <c r="H11" s="1"/>
    </row>
    <row r="12" spans="2:25" ht="15.75">
      <c r="B12" s="9">
        <f>'Energy Calculator'!B48</f>
        <v>214</v>
      </c>
      <c r="C12" s="10">
        <f>'Energy Calculator'!C29*Parameters!$C$9</f>
        <v>0</v>
      </c>
      <c r="D12" s="10">
        <f>'Energy Calculator'!E29*Parameters!$C$7*Parameters!$C$11</f>
        <v>0</v>
      </c>
      <c r="E12" s="10">
        <f>'Energy Calculator'!F29*Parameters!$C$6*Parameters!$C$10</f>
        <v>0</v>
      </c>
      <c r="F12" s="10">
        <f>'Energy Calculator'!G29*Parameters!$C$4*Parameters!$C$12</f>
        <v>0</v>
      </c>
      <c r="G12" s="13">
        <f t="shared" si="0"/>
        <v>0</v>
      </c>
      <c r="H12" s="1"/>
    </row>
    <row r="13" spans="2:25" ht="15.75">
      <c r="B13" s="9">
        <f>'Energy Calculator'!B49</f>
        <v>245</v>
      </c>
      <c r="C13" s="10">
        <f>'Energy Calculator'!C30*Parameters!$C$9</f>
        <v>0</v>
      </c>
      <c r="D13" s="10">
        <f>'Energy Calculator'!E30*Parameters!$C$7*Parameters!$C$11</f>
        <v>0</v>
      </c>
      <c r="E13" s="10">
        <f>'Energy Calculator'!F30*Parameters!$C$6*Parameters!$C$10</f>
        <v>0</v>
      </c>
      <c r="F13" s="10">
        <f>'Energy Calculator'!G30*Parameters!$C$4*Parameters!$C$12</f>
        <v>0</v>
      </c>
      <c r="G13" s="13">
        <f t="shared" si="0"/>
        <v>0</v>
      </c>
      <c r="H13" s="1"/>
    </row>
    <row r="14" spans="2:25" ht="15.75">
      <c r="B14" s="9">
        <f>'Energy Calculator'!B50</f>
        <v>275</v>
      </c>
      <c r="C14" s="10">
        <f>'Energy Calculator'!C31*Parameters!$C$9</f>
        <v>0</v>
      </c>
      <c r="D14" s="10">
        <f>'Energy Calculator'!E31*Parameters!$C$7*Parameters!$C$11</f>
        <v>0</v>
      </c>
      <c r="E14" s="10">
        <f>'Energy Calculator'!F31*Parameters!$C$6*Parameters!$C$10</f>
        <v>0</v>
      </c>
      <c r="F14" s="10">
        <f>'Energy Calculator'!G31*Parameters!$C$4*Parameters!$C$12</f>
        <v>0</v>
      </c>
      <c r="G14" s="13">
        <f t="shared" si="0"/>
        <v>0</v>
      </c>
      <c r="H14" s="1"/>
    </row>
    <row r="15" spans="2:25" ht="15.75">
      <c r="B15" s="9">
        <f>'Energy Calculator'!B51</f>
        <v>306</v>
      </c>
      <c r="C15" s="10">
        <f>'Energy Calculator'!C32*Parameters!$C$9</f>
        <v>0</v>
      </c>
      <c r="D15" s="10">
        <f>'Energy Calculator'!E32*Parameters!$C$7*Parameters!$C$11</f>
        <v>0</v>
      </c>
      <c r="E15" s="10">
        <f>'Energy Calculator'!F32*Parameters!$C$6*Parameters!$C$10</f>
        <v>0</v>
      </c>
      <c r="F15" s="10">
        <f>'Energy Calculator'!G32*Parameters!$C$4*Parameters!$C$12</f>
        <v>0</v>
      </c>
      <c r="G15" s="13">
        <f t="shared" si="0"/>
        <v>0</v>
      </c>
      <c r="H15" s="1"/>
    </row>
    <row r="16" spans="2:25" ht="15.75">
      <c r="B16" s="9">
        <f>'Energy Calculator'!B52</f>
        <v>336</v>
      </c>
      <c r="C16" s="10">
        <f>'Energy Calculator'!C33*Parameters!$C$9</f>
        <v>0</v>
      </c>
      <c r="D16" s="10">
        <f>'Energy Calculator'!E33*Parameters!$C$7*Parameters!$C$11</f>
        <v>0</v>
      </c>
      <c r="E16" s="10">
        <f>'Energy Calculator'!F33*Parameters!$C$6*Parameters!$C$10</f>
        <v>0</v>
      </c>
      <c r="F16" s="10">
        <f>'Energy Calculator'!G33*Parameters!$C$4*Parameters!$C$12</f>
        <v>0</v>
      </c>
      <c r="G16" s="13">
        <f t="shared" si="0"/>
        <v>0</v>
      </c>
      <c r="H16" s="1"/>
    </row>
    <row r="17" spans="2:25" ht="15.75">
      <c r="B17" s="11" t="s">
        <v>32</v>
      </c>
      <c r="C17" s="12">
        <f t="shared" ref="C17:F17" si="1">SUM(C5:C16)</f>
        <v>0</v>
      </c>
      <c r="D17" s="12">
        <f t="shared" si="1"/>
        <v>0</v>
      </c>
      <c r="E17" s="12">
        <f t="shared" si="1"/>
        <v>0</v>
      </c>
      <c r="F17" s="12">
        <f t="shared" si="1"/>
        <v>0</v>
      </c>
      <c r="G17" s="13">
        <f t="shared" si="0"/>
        <v>0</v>
      </c>
      <c r="H17" s="4"/>
      <c r="I17" s="1"/>
      <c r="J17" s="1"/>
      <c r="K17" s="1"/>
      <c r="L17" s="1"/>
      <c r="M17" s="1"/>
      <c r="N17" s="1"/>
      <c r="O17" s="1"/>
      <c r="P17" s="1"/>
      <c r="Q17" s="1"/>
      <c r="R17" s="1"/>
      <c r="S17" s="1"/>
      <c r="T17" s="1"/>
      <c r="U17" s="1"/>
      <c r="V17" s="1"/>
      <c r="W17" s="1"/>
      <c r="X17" s="1"/>
      <c r="Y17" s="1"/>
    </row>
    <row r="18" spans="2:25" ht="15.75">
      <c r="B18" s="14"/>
      <c r="C18" s="15">
        <f>IFERROR(C17/$G$17,0)</f>
        <v>0</v>
      </c>
      <c r="D18" s="15">
        <f>IFERROR(D17/$G$17,0)</f>
        <v>0</v>
      </c>
      <c r="E18" s="15">
        <f>IFERROR(E17/$G$17,0)</f>
        <v>0</v>
      </c>
      <c r="F18" s="15">
        <f>IFERROR(F17/$G$17,0)</f>
        <v>0</v>
      </c>
      <c r="G18" s="13"/>
      <c r="H18" s="1"/>
      <c r="I18" s="1"/>
      <c r="J18" s="1"/>
      <c r="K18" s="1"/>
      <c r="L18" s="1"/>
      <c r="M18" s="1"/>
      <c r="N18" s="1"/>
      <c r="O18" s="1"/>
      <c r="P18" s="1"/>
      <c r="Q18" s="1"/>
      <c r="R18" s="1"/>
      <c r="S18" s="1"/>
      <c r="T18" s="1"/>
      <c r="U18" s="1"/>
      <c r="V18" s="1"/>
      <c r="W18" s="1"/>
      <c r="X18" s="1"/>
      <c r="Y18" s="1"/>
    </row>
    <row r="19" spans="2:25" ht="15.75">
      <c r="B19" s="16"/>
      <c r="C19" s="17" t="str">
        <f>IF(C18&lt;0.5%,"",C17)</f>
        <v/>
      </c>
      <c r="D19" s="17" t="str">
        <f t="shared" ref="D19:G19" si="2">IF(D18&lt;0.5%,"",D17)</f>
        <v/>
      </c>
      <c r="E19" s="17" t="str">
        <f t="shared" si="2"/>
        <v/>
      </c>
      <c r="F19" s="17" t="str">
        <f t="shared" si="2"/>
        <v/>
      </c>
      <c r="G19" s="17" t="str">
        <f t="shared" si="2"/>
        <v/>
      </c>
      <c r="H19" s="1"/>
      <c r="I19" s="1"/>
      <c r="J19" s="1"/>
      <c r="K19" s="1"/>
      <c r="L19" s="1"/>
      <c r="M19" s="1"/>
      <c r="N19" s="1"/>
      <c r="O19" s="1"/>
      <c r="P19" s="1"/>
      <c r="Q19" s="1"/>
      <c r="R19" s="1"/>
      <c r="S19" s="1"/>
      <c r="T19" s="1"/>
      <c r="U19" s="1"/>
      <c r="V19" s="1"/>
      <c r="W19" s="1"/>
      <c r="X19" s="1"/>
      <c r="Y19" s="1"/>
    </row>
    <row r="22" spans="2:25" ht="39" customHeight="1">
      <c r="B22" s="18" t="s">
        <v>81</v>
      </c>
      <c r="C22" s="19" t="s">
        <v>89</v>
      </c>
      <c r="D22" s="19" t="s">
        <v>90</v>
      </c>
      <c r="E22" s="20" t="s">
        <v>91</v>
      </c>
      <c r="F22" s="20" t="s">
        <v>92</v>
      </c>
      <c r="G22" s="20" t="s">
        <v>93</v>
      </c>
      <c r="H22" s="20" t="s">
        <v>94</v>
      </c>
      <c r="I22" s="20" t="s">
        <v>95</v>
      </c>
      <c r="J22" s="20" t="s">
        <v>96</v>
      </c>
      <c r="K22" s="20" t="s">
        <v>97</v>
      </c>
      <c r="L22" s="20" t="s">
        <v>98</v>
      </c>
      <c r="M22" s="20" t="s">
        <v>99</v>
      </c>
      <c r="N22" s="20" t="s">
        <v>100</v>
      </c>
      <c r="O22" s="20" t="s">
        <v>101</v>
      </c>
      <c r="P22" s="20" t="s">
        <v>102</v>
      </c>
      <c r="Q22" s="20" t="s">
        <v>103</v>
      </c>
      <c r="R22" s="21" t="s">
        <v>104</v>
      </c>
      <c r="S22" s="90" t="s">
        <v>105</v>
      </c>
    </row>
    <row r="23" spans="2:25" ht="15.75">
      <c r="B23" s="22">
        <f>'Energy Calculator'!B41</f>
        <v>0</v>
      </c>
      <c r="C23" s="23" t="e">
        <f>_xlfn.XLOOKUP('Energy Calculator'!$E$12,$D$22:$R$22,D23:R23)</f>
        <v>#N/A</v>
      </c>
      <c r="D23" s="23">
        <v>18.135483870967743</v>
      </c>
      <c r="E23" s="24">
        <v>18.408064516128999</v>
      </c>
      <c r="F23" s="24">
        <v>16.139086021505378</v>
      </c>
      <c r="G23" s="24">
        <v>17.782069892473121</v>
      </c>
      <c r="H23" s="24">
        <v>19.885483870967743</v>
      </c>
      <c r="I23" s="24">
        <v>19.710483870967739</v>
      </c>
      <c r="J23" s="24">
        <v>19.152225806451611</v>
      </c>
      <c r="K23" s="24">
        <v>18.372632091212456</v>
      </c>
      <c r="L23" s="24">
        <v>19.652419354838713</v>
      </c>
      <c r="M23" s="24">
        <v>18.045161290322579</v>
      </c>
      <c r="N23" s="24">
        <v>17.948387096774194</v>
      </c>
      <c r="O23" s="24">
        <v>19.283064516129034</v>
      </c>
      <c r="P23" s="24">
        <v>18.983252688172044</v>
      </c>
      <c r="Q23" s="24">
        <v>18.321774193548386</v>
      </c>
      <c r="R23" s="25">
        <v>15.398387096774194</v>
      </c>
    </row>
    <row r="24" spans="2:25" ht="15.75">
      <c r="B24" s="22">
        <f>'Energy Calculator'!B42</f>
        <v>32</v>
      </c>
      <c r="C24" s="23" t="e">
        <f>_xlfn.XLOOKUP('Energy Calculator'!$E$12,$D$22:$R$22,D24:R24)</f>
        <v>#N/A</v>
      </c>
      <c r="D24" s="23">
        <v>18.625584975369456</v>
      </c>
      <c r="E24" s="24">
        <v>18.124445812807885</v>
      </c>
      <c r="F24" s="24">
        <v>15.966435185185185</v>
      </c>
      <c r="G24" s="24">
        <v>18.087161330049259</v>
      </c>
      <c r="H24" s="24">
        <v>20.308774630541873</v>
      </c>
      <c r="I24" s="24">
        <v>20.256003694581281</v>
      </c>
      <c r="J24" s="24">
        <v>19.538679280489625</v>
      </c>
      <c r="K24" s="24">
        <v>18.523447802197804</v>
      </c>
      <c r="L24" s="24">
        <v>19.803062853493891</v>
      </c>
      <c r="M24" s="24">
        <v>17.662130541871917</v>
      </c>
      <c r="N24" s="24">
        <v>18.526169950738918</v>
      </c>
      <c r="O24" s="24">
        <v>19.891861658456488</v>
      </c>
      <c r="P24" s="24">
        <v>19.791871921182267</v>
      </c>
      <c r="Q24" s="24">
        <v>18.516502463054188</v>
      </c>
      <c r="R24" s="25">
        <v>15.192703201970446</v>
      </c>
    </row>
    <row r="25" spans="2:25" ht="15.75">
      <c r="B25" s="22">
        <f>'Energy Calculator'!B43</f>
        <v>61</v>
      </c>
      <c r="C25" s="23" t="e">
        <f>_xlfn.XLOOKUP('Energy Calculator'!$E$12,$D$22:$R$22,D25:R25)</f>
        <v>#N/A</v>
      </c>
      <c r="D25" s="23">
        <v>16.317741935483873</v>
      </c>
      <c r="E25" s="24">
        <v>14.97258064516129</v>
      </c>
      <c r="F25" s="24">
        <v>14.112096774193549</v>
      </c>
      <c r="G25" s="24">
        <v>15.754838709677419</v>
      </c>
      <c r="H25" s="24">
        <v>18.603225806451611</v>
      </c>
      <c r="I25" s="24">
        <v>18.124193548387098</v>
      </c>
      <c r="J25" s="24">
        <v>16.874581839904419</v>
      </c>
      <c r="K25" s="24">
        <v>16.394688542825364</v>
      </c>
      <c r="L25" s="24">
        <v>17.781451612903226</v>
      </c>
      <c r="M25" s="24">
        <v>15.257768817204303</v>
      </c>
      <c r="N25" s="24">
        <v>16.269354838709678</v>
      </c>
      <c r="O25" s="24">
        <v>18.339751344086025</v>
      </c>
      <c r="P25" s="24">
        <v>17.250806451612902</v>
      </c>
      <c r="Q25" s="24">
        <v>17.062903225806451</v>
      </c>
      <c r="R25" s="25">
        <v>13.502419354838713</v>
      </c>
    </row>
    <row r="26" spans="2:25" ht="15.75">
      <c r="B26" s="22">
        <f>'Energy Calculator'!B44</f>
        <v>92</v>
      </c>
      <c r="C26" s="23" t="e">
        <f>_xlfn.XLOOKUP('Energy Calculator'!$E$12,$D$22:$R$22,D26:R26)</f>
        <v>#N/A</v>
      </c>
      <c r="D26" s="23">
        <v>14.906025641025639</v>
      </c>
      <c r="E26" s="24">
        <v>11.15833333333333</v>
      </c>
      <c r="F26" s="24">
        <v>11.672499999999999</v>
      </c>
      <c r="G26" s="24">
        <v>13.819166666666666</v>
      </c>
      <c r="H26" s="24">
        <v>17.220833333333331</v>
      </c>
      <c r="I26" s="24">
        <v>16.325833333333335</v>
      </c>
      <c r="J26" s="24">
        <v>15.389880952380953</v>
      </c>
      <c r="K26" s="24">
        <v>13.857592592592592</v>
      </c>
      <c r="L26" s="24">
        <v>16.10890804597701</v>
      </c>
      <c r="M26" s="24">
        <v>13.498055555555554</v>
      </c>
      <c r="N26" s="24">
        <v>14.01166666666667</v>
      </c>
      <c r="O26" s="24">
        <v>16.664511494252874</v>
      </c>
      <c r="P26" s="24">
        <v>15.131982758620689</v>
      </c>
      <c r="Q26" s="24">
        <v>15.356011904761903</v>
      </c>
      <c r="R26" s="25">
        <v>11.418678160919541</v>
      </c>
    </row>
    <row r="27" spans="2:25" ht="15.75">
      <c r="B27" s="22">
        <f>'Energy Calculator'!B45</f>
        <v>122</v>
      </c>
      <c r="C27" s="23" t="e">
        <f>_xlfn.XLOOKUP('Energy Calculator'!$E$12,$D$22:$R$22,D27:R27)</f>
        <v>#N/A</v>
      </c>
      <c r="D27" s="23">
        <v>13.005334987593052</v>
      </c>
      <c r="E27" s="24">
        <v>8.3880376344086027</v>
      </c>
      <c r="F27" s="24">
        <v>9.0008064516129025</v>
      </c>
      <c r="G27" s="24">
        <v>11.350031516499813</v>
      </c>
      <c r="H27" s="24">
        <v>15.101612903225803</v>
      </c>
      <c r="I27" s="24">
        <v>13.799193548387098</v>
      </c>
      <c r="J27" s="24">
        <v>12.619804147465437</v>
      </c>
      <c r="K27" s="24">
        <v>11.534224565756826</v>
      </c>
      <c r="L27" s="24">
        <v>13.573879310344829</v>
      </c>
      <c r="M27" s="24">
        <v>11.402299880525687</v>
      </c>
      <c r="N27" s="24">
        <v>11.742400744416873</v>
      </c>
      <c r="O27" s="24">
        <v>14.246559139784948</v>
      </c>
      <c r="P27" s="24">
        <v>12.455510752688172</v>
      </c>
      <c r="Q27" s="24">
        <v>13.492908787541714</v>
      </c>
      <c r="R27" s="25">
        <v>8.9955069124423961</v>
      </c>
    </row>
    <row r="28" spans="2:25" ht="15.75">
      <c r="B28" s="22">
        <f>'Energy Calculator'!B46</f>
        <v>153</v>
      </c>
      <c r="C28" s="23" t="e">
        <f>_xlfn.XLOOKUP('Energy Calculator'!$E$12,$D$22:$R$22,D28:R28)</f>
        <v>#N/A</v>
      </c>
      <c r="D28" s="23">
        <v>11.543586956521739</v>
      </c>
      <c r="E28" s="24">
        <v>5.077628205128204</v>
      </c>
      <c r="F28" s="24">
        <v>6.5908333333333342</v>
      </c>
      <c r="G28" s="24">
        <v>9.1966666666666654</v>
      </c>
      <c r="H28" s="24">
        <v>13.136666666666667</v>
      </c>
      <c r="I28" s="24">
        <v>12.36301724137931</v>
      </c>
      <c r="J28" s="24">
        <v>11.088261494252873</v>
      </c>
      <c r="K28" s="24">
        <v>10.025833333333335</v>
      </c>
      <c r="L28" s="24">
        <v>11.782550287356319</v>
      </c>
      <c r="M28" s="24">
        <v>8.4941666666666684</v>
      </c>
      <c r="N28" s="24">
        <v>10.015000000000001</v>
      </c>
      <c r="O28" s="24">
        <v>12.419761904761904</v>
      </c>
      <c r="P28" s="24">
        <v>10.861810344827585</v>
      </c>
      <c r="Q28" s="24">
        <v>11.990000000000002</v>
      </c>
      <c r="R28" s="25">
        <v>6.137407407407407</v>
      </c>
    </row>
    <row r="29" spans="2:25" ht="15.75">
      <c r="B29" s="22">
        <f>'Energy Calculator'!B47</f>
        <v>183</v>
      </c>
      <c r="C29" s="23" t="e">
        <f>_xlfn.XLOOKUP('Energy Calculator'!$E$12,$D$22:$R$22,D29:R29)</f>
        <v>#N/A</v>
      </c>
      <c r="D29" s="23">
        <v>9.7086206896551719</v>
      </c>
      <c r="E29" s="24">
        <v>4.3282258064516128</v>
      </c>
      <c r="F29" s="24">
        <v>5.69758064516129</v>
      </c>
      <c r="G29" s="24">
        <v>8.0403225806451601</v>
      </c>
      <c r="H29" s="24">
        <v>12.566129032258063</v>
      </c>
      <c r="I29" s="24">
        <v>10.696155913978494</v>
      </c>
      <c r="J29" s="24">
        <v>9.336557484506594</v>
      </c>
      <c r="K29" s="24">
        <v>8.3391958142792397</v>
      </c>
      <c r="L29" s="24">
        <v>10.535708194289951</v>
      </c>
      <c r="M29" s="24">
        <v>7.5614784946236551</v>
      </c>
      <c r="N29" s="24">
        <v>8.4653225806451591</v>
      </c>
      <c r="O29" s="24">
        <v>11.25483870967742</v>
      </c>
      <c r="P29" s="24">
        <v>9.7643010752688184</v>
      </c>
      <c r="Q29" s="24">
        <v>10.750806451612902</v>
      </c>
      <c r="R29" s="25">
        <v>5.9286827956989248</v>
      </c>
    </row>
    <row r="30" spans="2:25" ht="15.75">
      <c r="B30" s="22">
        <f>'Energy Calculator'!B48</f>
        <v>214</v>
      </c>
      <c r="C30" s="23" t="e">
        <f>_xlfn.XLOOKUP('Energy Calculator'!$E$12,$D$22:$R$22,D30:R30)</f>
        <v>#N/A</v>
      </c>
      <c r="D30" s="23">
        <v>9.9870967741935477</v>
      </c>
      <c r="E30" s="24">
        <v>6.745967741935484</v>
      </c>
      <c r="F30" s="24">
        <v>7.2612903225806456</v>
      </c>
      <c r="G30" s="24">
        <v>8.9176075268817208</v>
      </c>
      <c r="H30" s="24">
        <v>12.541881720430109</v>
      </c>
      <c r="I30" s="24">
        <v>10.691935483870969</v>
      </c>
      <c r="J30" s="24">
        <v>9.8020856507230256</v>
      </c>
      <c r="K30" s="24">
        <v>8.7730520353302612</v>
      </c>
      <c r="L30" s="24">
        <v>10.807258064516128</v>
      </c>
      <c r="M30" s="24">
        <v>8.9766993087557605</v>
      </c>
      <c r="N30" s="24">
        <v>8.986290322580647</v>
      </c>
      <c r="O30" s="24">
        <v>11.054193548387095</v>
      </c>
      <c r="P30" s="24">
        <v>9.8270161290322591</v>
      </c>
      <c r="Q30" s="24">
        <v>10.573844086021506</v>
      </c>
      <c r="R30" s="25">
        <v>7.2442473118279569</v>
      </c>
    </row>
    <row r="31" spans="2:25" ht="15.75">
      <c r="B31" s="22">
        <f>'Energy Calculator'!B49</f>
        <v>245</v>
      </c>
      <c r="C31" s="23" t="e">
        <f>_xlfn.XLOOKUP('Energy Calculator'!$E$12,$D$22:$R$22,D31:R31)</f>
        <v>#N/A</v>
      </c>
      <c r="D31" s="23">
        <v>11.694022988505747</v>
      </c>
      <c r="E31" s="24">
        <v>9.4025020525451559</v>
      </c>
      <c r="F31" s="24">
        <v>9.18</v>
      </c>
      <c r="G31" s="24">
        <v>11.057557471264367</v>
      </c>
      <c r="H31" s="24">
        <v>13.722586206896548</v>
      </c>
      <c r="I31" s="24">
        <v>12.64666666666667</v>
      </c>
      <c r="J31" s="24">
        <v>12.310217569786538</v>
      </c>
      <c r="K31" s="24">
        <v>11.179048132183908</v>
      </c>
      <c r="L31" s="24">
        <v>12.576839080459772</v>
      </c>
      <c r="M31" s="24">
        <v>10.542314814814816</v>
      </c>
      <c r="N31" s="24">
        <v>11.073782051282052</v>
      </c>
      <c r="O31" s="24">
        <v>12.387916666666667</v>
      </c>
      <c r="P31" s="24">
        <v>11.695373563218391</v>
      </c>
      <c r="Q31" s="24">
        <v>11.869166666666665</v>
      </c>
      <c r="R31" s="25">
        <v>8.9973850574712628</v>
      </c>
    </row>
    <row r="32" spans="2:25" ht="15.75">
      <c r="B32" s="22">
        <f>'Energy Calculator'!B50</f>
        <v>275</v>
      </c>
      <c r="C32" s="23" t="e">
        <f>_xlfn.XLOOKUP('Energy Calculator'!$E$12,$D$22:$R$22,D32:R32)</f>
        <v>#N/A</v>
      </c>
      <c r="D32" s="23">
        <v>13.103380893300248</v>
      </c>
      <c r="E32" s="24">
        <v>11.854032258064516</v>
      </c>
      <c r="F32" s="24">
        <v>10.720967741935484</v>
      </c>
      <c r="G32" s="24">
        <v>12.712903225806452</v>
      </c>
      <c r="H32" s="24">
        <v>15.279838709677417</v>
      </c>
      <c r="I32" s="24">
        <v>14.709677419354838</v>
      </c>
      <c r="J32" s="24">
        <v>14.017914746543779</v>
      </c>
      <c r="K32" s="24">
        <v>12.606163594470045</v>
      </c>
      <c r="L32" s="24">
        <v>14.589516129032258</v>
      </c>
      <c r="M32" s="24">
        <v>12.089890552995392</v>
      </c>
      <c r="N32" s="24">
        <v>12.746854838709675</v>
      </c>
      <c r="O32" s="24">
        <v>14.178168202764979</v>
      </c>
      <c r="P32" s="24">
        <v>13.915752688172043</v>
      </c>
      <c r="Q32" s="24">
        <v>13.280403225806449</v>
      </c>
      <c r="R32" s="25">
        <v>10.777836021505376</v>
      </c>
    </row>
    <row r="33" spans="2:18" ht="15.75">
      <c r="B33" s="22">
        <f>'Energy Calculator'!B51</f>
        <v>306</v>
      </c>
      <c r="C33" s="23" t="e">
        <f>_xlfn.XLOOKUP('Energy Calculator'!$E$12,$D$22:$R$22,D33:R33)</f>
        <v>#N/A</v>
      </c>
      <c r="D33" s="23">
        <v>15.687870370370367</v>
      </c>
      <c r="E33" s="24">
        <v>14.727499999999999</v>
      </c>
      <c r="F33" s="24">
        <v>13.233793103448274</v>
      </c>
      <c r="G33" s="24">
        <v>15.362298850574712</v>
      </c>
      <c r="H33" s="24">
        <v>17.169166666666669</v>
      </c>
      <c r="I33" s="24">
        <v>17.244166666666668</v>
      </c>
      <c r="J33" s="24">
        <v>16.926321611019887</v>
      </c>
      <c r="K33" s="24">
        <v>15.661279761904764</v>
      </c>
      <c r="L33" s="24">
        <v>17</v>
      </c>
      <c r="M33" s="24">
        <v>14.630357142857147</v>
      </c>
      <c r="N33" s="24">
        <v>15.583362068965517</v>
      </c>
      <c r="O33" s="24">
        <v>16.05952380952381</v>
      </c>
      <c r="P33" s="24">
        <v>16.251235632183906</v>
      </c>
      <c r="Q33" s="24">
        <v>15.612499999999999</v>
      </c>
      <c r="R33" s="25">
        <v>12.633145525451562</v>
      </c>
    </row>
    <row r="34" spans="2:18" ht="15.75">
      <c r="B34" s="22">
        <f>'Energy Calculator'!B52</f>
        <v>336</v>
      </c>
      <c r="C34" s="23" t="e">
        <f>_xlfn.XLOOKUP('Energy Calculator'!$E$12,$D$22:$R$22,D34:R34)</f>
        <v>#N/A</v>
      </c>
      <c r="D34" s="23">
        <v>17.357352941176469</v>
      </c>
      <c r="E34" s="24">
        <v>17.046140552995393</v>
      </c>
      <c r="F34" s="24">
        <v>14.899193548387096</v>
      </c>
      <c r="G34" s="24">
        <v>17.050725806451613</v>
      </c>
      <c r="H34" s="24">
        <v>19.211290322580645</v>
      </c>
      <c r="I34" s="24">
        <v>19.284198588709678</v>
      </c>
      <c r="J34" s="24">
        <v>18.793677233963663</v>
      </c>
      <c r="K34" s="24">
        <v>18.024837614644589</v>
      </c>
      <c r="L34" s="24">
        <v>18.993654499151102</v>
      </c>
      <c r="M34" s="24">
        <v>16.384705228031144</v>
      </c>
      <c r="N34" s="24">
        <v>17.493471130387636</v>
      </c>
      <c r="O34" s="24">
        <v>18.566177681525463</v>
      </c>
      <c r="P34" s="24">
        <v>18.174193548387095</v>
      </c>
      <c r="Q34" s="24">
        <v>17.516129032258068</v>
      </c>
      <c r="R34" s="25">
        <v>14.050940096529814</v>
      </c>
    </row>
    <row r="35" spans="2:18" ht="15.75">
      <c r="B35" s="16"/>
      <c r="C35" s="26" t="e">
        <f>AVERAGE(C23:C34)</f>
        <v>#N/A</v>
      </c>
      <c r="D35" s="26">
        <f>AVERAGE(D23:D34)</f>
        <v>14.172675252013589</v>
      </c>
      <c r="E35" s="26">
        <f>AVERAGE(E23:E34)</f>
        <v>11.68612154658004</v>
      </c>
      <c r="F35" s="26">
        <f t="shared" ref="F35:R35" si="3">AVERAGE(F23:F34)</f>
        <v>11.206215260611929</v>
      </c>
      <c r="G35" s="26">
        <f t="shared" si="3"/>
        <v>13.260945853638082</v>
      </c>
      <c r="H35" s="26">
        <f t="shared" si="3"/>
        <v>16.228957489141372</v>
      </c>
      <c r="I35" s="26">
        <f t="shared" si="3"/>
        <v>15.487627164690265</v>
      </c>
      <c r="J35" s="26">
        <f t="shared" si="3"/>
        <v>14.6541839847907</v>
      </c>
      <c r="K35" s="26">
        <f t="shared" si="3"/>
        <v>13.607666323394264</v>
      </c>
      <c r="L35" s="26">
        <f t="shared" si="3"/>
        <v>15.267103952696933</v>
      </c>
      <c r="M35" s="26">
        <f t="shared" si="3"/>
        <v>12.878752357852052</v>
      </c>
      <c r="N35" s="26">
        <f t="shared" si="3"/>
        <v>13.571838524156419</v>
      </c>
      <c r="O35" s="26">
        <f t="shared" si="3"/>
        <v>15.362194056334724</v>
      </c>
      <c r="P35" s="26">
        <f t="shared" si="3"/>
        <v>14.508592296113852</v>
      </c>
      <c r="Q35" s="26">
        <f t="shared" si="3"/>
        <v>14.528579169756521</v>
      </c>
      <c r="R35" s="27">
        <f t="shared" si="3"/>
        <v>10.856444911903134</v>
      </c>
    </row>
  </sheetData>
  <sheetProtection algorithmName="SHA-512" hashValue="6FZPHVFHYN/wKq7zFy1hCm5WJnF2DeTc4pVomwwl108F0DrZktcmr7sVmDdgAQvNt7oK5rh3ajxcmkFPbV9AiA==" saltValue="19BEmDZBnFIxOTnDEKVgl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e260898f9cac20f9ded0517d4dc8f34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72c39ae19fc9aa7d00517e2be40fb9f6"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6270d6-e0e1-44d9-9147-71125ac31554" xsi:nil="true"/>
    <TaxCatchAll xmlns="21524e96-ec98-4da0-a122-419156e7d6b0" xsi:nil="true"/>
    <TaxKeywordTaxHTField xmlns="21524e96-ec98-4da0-a122-419156e7d6b0">
      <Terms xmlns="http://schemas.microsoft.com/office/infopath/2007/PartnerControls"/>
    </TaxKeywordTaxHTField>
    <k03a37f2627d4dc4ad1de93546aabd57 xmlns="376270d6-e0e1-44d9-9147-71125ac31554">
      <Terms xmlns="http://schemas.microsoft.com/office/infopath/2007/PartnerControls"/>
    </k03a37f2627d4dc4ad1de93546aabd57>
    <C3TopicNote xmlns="21524e96-ec98-4da0-a122-419156e7d6b0">
      <Terms xmlns="http://schemas.microsoft.com/office/infopath/2007/PartnerControls"/>
    </C3TopicNote>
    <C3FinancialYearNote xmlns="21524e96-ec98-4da0-a122-419156e7d6b0">
      <Terms xmlns="http://schemas.microsoft.com/office/infopath/2007/PartnerControls"/>
    </C3FinancialYearNote>
    <AccountManager xmlns="21524e96-ec98-4da0-a122-419156e7d6b0">
      <UserInfo>
        <DisplayName>ErreyIeep</DisplayName>
        <AccountId>155</AccountId>
        <AccountType/>
      </UserInfo>
    </AccountManager>
  </documentManagement>
</p:properties>
</file>

<file path=customXml/item4.xml>��< ? x m l   v e r s i o n = " 1 . 0 "   e n c o d i n g = " u t f - 1 6 " ? > < D a t a M a s h u p   x m l n s = " h t t p : / / s c h e m a s . m i c r o s o f t . c o m / D a t a M a s h u p " > A A A A A B Y D A A B Q S w M E F A A C A A g A j G g U W f / d / S C m A A A A 9 g A A A B I A H A B D b 2 5 m a W c v U G F j a 2 F n Z S 5 4 b W w g o h g A K K A U A A A A A A A A A A A A A A A A A A A A A A A A A A A A h Y + x D o I w G I R f h X S n L S V G Q 0 o Z X M W Y m B j j 1 p Q K j f B j a L G 8 m 4 O P 5 C u I U d T N 8 e 6 + S + 7 u 1 x v P h q Y O L r q z p o U U R Z i i Q I N q C w N l i n p 3 D B c o E 3 w j 1 U m W O h h h s M l g T Y o q 5 8 4 J I d 5 7 7 G P c d i V h l E Z k n 6 + 2 q t K N D A 1 Y J 0 F p 9 G k V / 1 t I 8 N 1 r j G A 4 i i m e s T m m n E w m z w 1 8 A T b u f a Y / J l / 2 t e s 7 L T S E 6 w M n k + T k / U E 8 A F B L A w Q U A A I A C A C M a B 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j G g U W S i K R 7 g O A A A A E Q A A A B M A H A B G b 3 J t d W x h c y 9 T Z W N 0 a W 9 u M S 5 t I K I Y A C i g F A A A A A A A A A A A A A A A A A A A A A A A A A A A A C t O T S 7 J z M 9 T C I b Q h t Y A U E s B A i 0 A F A A C A A g A j G g U W f / d / S C m A A A A 9 g A A A B I A A A A A A A A A A A A A A A A A A A A A A E N v b m Z p Z y 9 Q Y W N r Y W d l L n h t b F B L A Q I t A B Q A A g A I A I x o F F k P y u m r p A A A A O k A A A A T A A A A A A A A A A A A A A A A A P I A A A B b Q 2 9 u d G V u d F 9 U e X B l c 1 0 u e G 1 s U E s B A i 0 A F A A C A A g A j G g U 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G G m O I g j v t M k J B V Q 0 J k y M g A A A A A A g A A A A A A A 2 Y A A M A A A A A Q A A A A X H 5 v b Y U u J T T x t + q V G i 3 N F A A A A A A E g A A A o A A A A B A A A A C a 2 9 M 3 0 o L R 4 Z 2 Z f F R + C q B 0 U A A A A E 0 F F r i B q F p u b R d 6 J l 4 Q N Z w N W q s e s m H Y A J t O C k i 3 I g v D M p N Y g b F y u t q 1 g b 5 y X 5 J Z G U X f b A b O q I G 1 j h g 8 A M M t b k h J 0 d j 3 q q e J O 4 m b X c j B J U 6 o F A A A A F G v S 4 + + 5 d V T 3 d 5 r 8 A N y n k P 5 a O c d < / D a t a M a s h u p > 
</file>

<file path=customXml/itemProps1.xml><?xml version="1.0" encoding="utf-8"?>
<ds:datastoreItem xmlns:ds="http://schemas.openxmlformats.org/officeDocument/2006/customXml" ds:itemID="{24CAE5BD-E222-4AF1-9D76-99EA36DD2C5D}"/>
</file>

<file path=customXml/itemProps2.xml><?xml version="1.0" encoding="utf-8"?>
<ds:datastoreItem xmlns:ds="http://schemas.openxmlformats.org/officeDocument/2006/customXml" ds:itemID="{895804DB-01BF-49BA-8013-8C1ED5301DCC}"/>
</file>

<file path=customXml/itemProps3.xml><?xml version="1.0" encoding="utf-8"?>
<ds:datastoreItem xmlns:ds="http://schemas.openxmlformats.org/officeDocument/2006/customXml" ds:itemID="{D1E9FFBF-493A-45D8-8A4F-CA6B576C0C18}"/>
</file>

<file path=customXml/itemProps4.xml><?xml version="1.0" encoding="utf-8"?>
<ds:datastoreItem xmlns:ds="http://schemas.openxmlformats.org/officeDocument/2006/customXml" ds:itemID="{F29921A5-E182-490B-BE28-974025F2B8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toby.deridder</dc:creator>
  <cp:keywords/>
  <dc:description/>
  <cp:lastModifiedBy/>
  <cp:revision/>
  <dcterms:created xsi:type="dcterms:W3CDTF">2015-06-05T18:17:20Z</dcterms:created>
  <dcterms:modified xsi:type="dcterms:W3CDTF">2024-11-26T03:24:15Z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3FinancialYearNote">
    <vt:lpwstr/>
  </property>
  <property fmtid="{D5CDD505-2E9C-101B-9397-08002B2CF9AE}" pid="4" name="C3FinancialYear">
    <vt:lpwstr/>
  </property>
  <property fmtid="{D5CDD505-2E9C-101B-9397-08002B2CF9AE}" pid="5" name="MediaServiceImageTags">
    <vt:lpwstr/>
  </property>
  <property fmtid="{D5CDD505-2E9C-101B-9397-08002B2CF9AE}" pid="6" name="ContentTypeId">
    <vt:lpwstr>0x010100FBA2F251638CCE48A93329D5E27FBC110100752342217DD78349B7B458CE96B5C641</vt:lpwstr>
  </property>
  <property fmtid="{D5CDD505-2E9C-101B-9397-08002B2CF9AE}" pid="7" name="AccountManager">
    <vt:lpwstr>155</vt:lpwstr>
  </property>
  <property fmtid="{D5CDD505-2E9C-101B-9397-08002B2CF9AE}" pid="8" name="k03a37f2627d4dc4ad1de93546aabd57">
    <vt:lpwstr/>
  </property>
  <property fmtid="{D5CDD505-2E9C-101B-9397-08002B2CF9AE}" pid="9" name="C3Topic">
    <vt:lpwstr/>
  </property>
  <property fmtid="{D5CDD505-2E9C-101B-9397-08002B2CF9AE}" pid="10" name="kddd98c5f6f34737bde028fc23de385d">
    <vt:lpwstr/>
  </property>
  <property fmtid="{D5CDD505-2E9C-101B-9397-08002B2CF9AE}" pid="11" name="ProgrammePartner">
    <vt:lpwstr/>
  </property>
  <property fmtid="{D5CDD505-2E9C-101B-9397-08002B2CF9AE}" pid="12" name="C3TopicNote">
    <vt:lpwstr/>
  </property>
  <property fmtid="{D5CDD505-2E9C-101B-9397-08002B2CF9AE}" pid="13" name="C3Region">
    <vt:lpwstr/>
  </property>
  <property fmtid="{D5CDD505-2E9C-101B-9397-08002B2CF9AE}" pid="14" name="C3RegionNote">
    <vt:lpwstr/>
  </property>
  <property fmtid="{D5CDD505-2E9C-101B-9397-08002B2CF9AE}" pid="15" name="SharedWithUsers">
    <vt:lpwstr>70;#Insa Errey;#583;#Karen Orr;#85;#Hamish Thomson;#86;#Julie Coyne</vt:lpwstr>
  </property>
  <property fmtid="{D5CDD505-2E9C-101B-9397-08002B2CF9AE}" pid="16" name="Partnership Sector">
    <vt:lpwstr/>
  </property>
  <property fmtid="{D5CDD505-2E9C-101B-9397-08002B2CF9AE}" pid="17" name="Partnership_x0020_Sector">
    <vt:lpwstr/>
  </property>
</Properties>
</file>